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NUTRIENT TRADING\Proposals\Approved\JRT Farms (304)\certificaiton\current\Spreadsheets\"/>
    </mc:Choice>
  </mc:AlternateContent>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62913"/>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D66" i="4" s="1"/>
  <c r="F66" i="4"/>
  <c r="F67" i="4"/>
  <c r="F61" i="4"/>
  <c r="F62" i="4"/>
  <c r="F65" i="4"/>
  <c r="F87" i="4"/>
  <c r="F90" i="4" s="1"/>
  <c r="F86" i="4"/>
  <c r="F92" i="4"/>
  <c r="F88" i="4"/>
  <c r="F91" i="4"/>
  <c r="F74" i="4"/>
  <c r="F73" i="4"/>
  <c r="F80" i="4" s="1"/>
  <c r="F81" i="4" s="1"/>
  <c r="F79" i="4"/>
  <c r="F75" i="4"/>
  <c r="F78" i="4"/>
  <c r="F105" i="4"/>
  <c r="F106" i="4"/>
  <c r="F107" i="4" s="1"/>
  <c r="F103" i="4"/>
  <c r="F104" i="4" s="1"/>
  <c r="J60" i="4"/>
  <c r="J66" i="4"/>
  <c r="J61" i="4"/>
  <c r="J64" i="4" s="1"/>
  <c r="J65" i="4"/>
  <c r="J87" i="4"/>
  <c r="J90" i="4" s="1"/>
  <c r="J86" i="4"/>
  <c r="J92" i="4"/>
  <c r="J93" i="4"/>
  <c r="J94" i="4" s="1"/>
  <c r="J88" i="4"/>
  <c r="J91" i="4"/>
  <c r="J74" i="4"/>
  <c r="J77" i="4" s="1"/>
  <c r="J73" i="4"/>
  <c r="J79" i="4"/>
  <c r="J80" i="4"/>
  <c r="J75" i="4"/>
  <c r="J78" i="4"/>
  <c r="F151" i="4"/>
  <c r="E157" i="4"/>
  <c r="J157" i="4" s="1"/>
  <c r="E158" i="4"/>
  <c r="F158" i="4" s="1"/>
  <c r="F165" i="4"/>
  <c r="H157" i="4"/>
  <c r="B25" i="4"/>
  <c r="F179" i="4" s="1"/>
  <c r="G177" i="1" s="1"/>
  <c r="E145" i="4"/>
  <c r="G145" i="4" s="1"/>
  <c r="K145" i="4" s="1"/>
  <c r="L145" i="4" s="1"/>
  <c r="E146" i="4"/>
  <c r="E147" i="4"/>
  <c r="G147" i="4" s="1"/>
  <c r="K147" i="4" s="1"/>
  <c r="L147" i="4" s="1"/>
  <c r="F161" i="4"/>
  <c r="F27" i="4"/>
  <c r="F29" i="4" s="1"/>
  <c r="F30" i="4" s="1"/>
  <c r="F32" i="4"/>
  <c r="F28" i="4"/>
  <c r="F49" i="4"/>
  <c r="H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s="1"/>
  <c r="G78" i="1"/>
  <c r="G90" i="4" s="1"/>
  <c r="K67" i="1"/>
  <c r="K76" i="4" s="1"/>
  <c r="G67" i="1"/>
  <c r="G77" i="4" s="1"/>
  <c r="K57" i="1"/>
  <c r="K64" i="4" s="1"/>
  <c r="G57" i="1"/>
  <c r="G64" i="4" s="1"/>
  <c r="G79" i="1"/>
  <c r="G91" i="4" s="1"/>
  <c r="K68" i="1"/>
  <c r="K78" i="4" s="1"/>
  <c r="G68" i="1"/>
  <c r="G78" i="4"/>
  <c r="G76" i="4"/>
  <c r="K58" i="1"/>
  <c r="K65" i="4"/>
  <c r="G58" i="1"/>
  <c r="G65" i="4" s="1"/>
  <c r="E72" i="2"/>
  <c r="E70" i="2"/>
  <c r="E69" i="2"/>
  <c r="D72" i="2"/>
  <c r="D71" i="2"/>
  <c r="D70" i="2"/>
  <c r="D69" i="2"/>
  <c r="D80" i="1"/>
  <c r="D69" i="1"/>
  <c r="B59" i="1"/>
  <c r="J76" i="4"/>
  <c r="F76" i="4"/>
  <c r="D92" i="4"/>
  <c r="D79" i="4"/>
  <c r="J81" i="4"/>
  <c r="F77" i="4"/>
  <c r="F82" i="4" s="1"/>
  <c r="F70" i="1" s="1"/>
  <c r="F162" i="4"/>
  <c r="F157" i="4"/>
  <c r="K157" i="4" s="1"/>
  <c r="L158" i="4" l="1"/>
  <c r="K158" i="4"/>
  <c r="K63" i="4"/>
  <c r="K89" i="4"/>
  <c r="J67" i="4"/>
  <c r="F68" i="4"/>
  <c r="J95" i="4"/>
  <c r="J81" i="1" s="1"/>
  <c r="F93" i="4"/>
  <c r="F94" i="4" s="1"/>
  <c r="F96" i="4" s="1"/>
  <c r="K77" i="4"/>
  <c r="J158" i="4"/>
  <c r="J82" i="4"/>
  <c r="J70" i="1" s="1"/>
  <c r="J69" i="4"/>
  <c r="J60" i="1" s="1"/>
  <c r="L45" i="4"/>
  <c r="F109" i="4"/>
  <c r="L157" i="4"/>
  <c r="F166" i="4" s="1"/>
  <c r="G144" i="4"/>
  <c r="K144" i="4" s="1"/>
  <c r="L144" i="4" s="1"/>
  <c r="G146" i="4"/>
  <c r="K146" i="4" s="1"/>
  <c r="L146" i="4" s="1"/>
  <c r="F111" i="4"/>
  <c r="F105" i="1" s="1"/>
  <c r="G121" i="1"/>
  <c r="G129" i="1"/>
  <c r="F130" i="4"/>
  <c r="G126" i="1" s="1"/>
  <c r="G44" i="4"/>
  <c r="J83" i="4"/>
  <c r="J71" i="1" s="1"/>
  <c r="F95" i="4"/>
  <c r="F81" i="1" s="1"/>
  <c r="F83" i="4"/>
  <c r="F71" i="1" s="1"/>
  <c r="F51" i="1"/>
  <c r="J51" i="1"/>
  <c r="F135" i="4"/>
  <c r="G132" i="1" s="1"/>
  <c r="J68" i="4"/>
  <c r="J70" i="4" s="1"/>
  <c r="J61" i="1" s="1"/>
  <c r="F42" i="4"/>
  <c r="F116" i="4" s="1"/>
  <c r="G112" i="1" s="1"/>
  <c r="G89" i="4"/>
  <c r="G63" i="4"/>
  <c r="F31" i="4"/>
  <c r="F64" i="4"/>
  <c r="F69" i="4" s="1"/>
  <c r="J96" i="4" l="1"/>
  <c r="J82" i="1" s="1"/>
  <c r="F60" i="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shape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shape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shape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shape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shape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shapeId="0">
      <text>
        <r>
          <rPr>
            <sz val="8"/>
            <color indexed="81"/>
            <rFont val="Tahoma"/>
            <family val="2"/>
          </rPr>
          <t>Data taken from USDA Plant Crop Nutrient Tool and assumes average moisture percentages at time of harvest.  
http://npk.nrcs.usda.gov/</t>
        </r>
      </text>
    </comment>
    <comment ref="E3" authorId="0" shapeId="0">
      <text>
        <r>
          <rPr>
            <sz val="8"/>
            <color indexed="81"/>
            <rFont val="Tahoma"/>
            <family val="2"/>
          </rPr>
          <t xml:space="preserve">Data taken from USDA Plant Crop Nutrient Tool and assumes average moisture percentages at time of harvest.  
http://npk.nrcs.usda.gov/
</t>
        </r>
      </text>
    </comment>
    <comment ref="F3" authorId="0" shapeId="0">
      <text>
        <r>
          <rPr>
            <sz val="8"/>
            <color indexed="81"/>
            <rFont val="Tahoma"/>
            <family val="2"/>
          </rPr>
          <t xml:space="preserve">PSU Agronomy Guide Table 1.2.6 "N Recommendations for Agronomic Crops" - Used for normal row crops.
</t>
        </r>
      </text>
    </comment>
    <comment ref="G3" authorId="0" shapeId="0">
      <text>
        <r>
          <rPr>
            <sz val="8"/>
            <color indexed="81"/>
            <rFont val="Tahoma"/>
            <family val="2"/>
          </rPr>
          <t xml:space="preserve">PSU Agronomy Guide Table 1.2.6 "N Recommendations for Agronomic Crops" - Used for normal row crops.
</t>
        </r>
      </text>
    </comment>
    <comment ref="H3" authorId="0" shape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shapeId="0">
      <text>
        <r>
          <rPr>
            <b/>
            <sz val="8"/>
            <color indexed="81"/>
            <rFont val="Tahoma"/>
            <family val="2"/>
          </rPr>
          <t>6-row @ 30% moisture value used</t>
        </r>
      </text>
    </comment>
    <comment ref="D8" authorId="0" shapeId="0">
      <text>
        <r>
          <rPr>
            <b/>
            <sz val="8"/>
            <color indexed="81"/>
            <rFont val="Tahoma"/>
            <family val="2"/>
          </rPr>
          <t>6-row uptake value used</t>
        </r>
      </text>
    </comment>
    <comment ref="D30" authorId="0" shapeId="0">
      <text>
        <r>
          <rPr>
            <b/>
            <sz val="8"/>
            <color indexed="81"/>
            <rFont val="Tahoma"/>
            <family val="2"/>
          </rPr>
          <t>75% moisture value used</t>
        </r>
        <r>
          <rPr>
            <sz val="8"/>
            <color indexed="81"/>
            <rFont val="Tahoma"/>
            <family val="2"/>
          </rPr>
          <t xml:space="preserve">
</t>
        </r>
      </text>
    </comment>
    <comment ref="D51" authorId="0" shapeId="0">
      <text>
        <r>
          <rPr>
            <b/>
            <sz val="8"/>
            <color indexed="81"/>
            <rFont val="Tahoma"/>
            <family val="2"/>
          </rPr>
          <t>30% moisture value used</t>
        </r>
      </text>
    </comment>
    <comment ref="D54" authorId="0" shapeId="0">
      <text>
        <r>
          <rPr>
            <b/>
            <sz val="8"/>
            <color indexed="81"/>
            <rFont val="Tahoma"/>
            <family val="2"/>
          </rPr>
          <t>35% moisture value used</t>
        </r>
        <r>
          <rPr>
            <sz val="8"/>
            <color indexed="81"/>
            <rFont val="Tahoma"/>
            <family val="2"/>
          </rPr>
          <t xml:space="preserve">
</t>
        </r>
      </text>
    </comment>
    <comment ref="D58" authorId="0" shapeId="0">
      <text>
        <r>
          <rPr>
            <b/>
            <sz val="8"/>
            <color indexed="81"/>
            <rFont val="Tahoma"/>
            <family val="2"/>
          </rPr>
          <t>80% moisture value used</t>
        </r>
        <r>
          <rPr>
            <sz val="8"/>
            <color indexed="81"/>
            <rFont val="Tahoma"/>
            <family val="2"/>
          </rPr>
          <t xml:space="preserve">
</t>
        </r>
      </text>
    </comment>
    <comment ref="A81" authorId="0" shapeId="0">
      <text>
        <r>
          <rPr>
            <sz val="8"/>
            <color indexed="81"/>
            <rFont val="Tahoma"/>
            <family val="2"/>
          </rPr>
          <t>Penn State Agronomy Guide, Table 1.2.8</t>
        </r>
      </text>
    </comment>
    <comment ref="A123" authorId="0" shapeId="0">
      <text>
        <r>
          <rPr>
            <sz val="8"/>
            <color indexed="81"/>
            <rFont val="Tahoma"/>
            <family val="2"/>
          </rPr>
          <t xml:space="preserve">Table is from Duke Adams (PA DEP) and Doug Beegle (Penn State).  These will be the new standards for residuals from manure.
</t>
        </r>
      </text>
    </comment>
    <comment ref="A131" authorId="0" shapeId="0">
      <text>
        <r>
          <rPr>
            <sz val="8"/>
            <color indexed="81"/>
            <rFont val="Tahoma"/>
            <family val="2"/>
          </rPr>
          <t xml:space="preserve">From Table 1.1.1 Agronomy Guide. Used for Residual contribution from legumes table.
</t>
        </r>
      </text>
    </comment>
    <comment ref="A247" authorId="0" shapeId="0">
      <text>
        <r>
          <rPr>
            <sz val="8"/>
            <color indexed="81"/>
            <rFont val="Tahoma"/>
            <family val="2"/>
          </rPr>
          <t xml:space="preserve">Information from this chart is taken from table 1.2.13 of the Penn State Agronomy Guide
</t>
        </r>
      </text>
    </comment>
    <comment ref="A273" authorId="0" shape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shapeId="0">
      <text>
        <r>
          <rPr>
            <sz val="8"/>
            <color indexed="81"/>
            <rFont val="Tahoma"/>
            <family val="2"/>
          </rPr>
          <t>Based on 2003 Implementation Model Run. Source: Ann Smith, Pa DEP (9/28/2005) and handed out by Duke Adams at Pa Ag. Workgroup meeting</t>
        </r>
      </text>
    </comment>
    <comment ref="E3" authorId="0" shapeId="0">
      <text>
        <r>
          <rPr>
            <sz val="8"/>
            <color indexed="81"/>
            <rFont val="Tahoma"/>
            <family val="2"/>
          </rPr>
          <t xml:space="preserve">Data comes from DRAFT- 7/18/2006 document "Estimated Portion of Model Input Load that Becomes the Edge-of-Segment Load" Faxed to WRI on 10/5/06 by Duke Adams.
</t>
        </r>
      </text>
    </comment>
    <comment ref="F3" authorId="0" shapeId="0">
      <text>
        <r>
          <rPr>
            <sz val="8"/>
            <color indexed="81"/>
            <rFont val="Tahoma"/>
            <family val="2"/>
          </rPr>
          <t xml:space="preserve">Based on 2003 Implementation Model Run. Source: Ann Smith, Pa DEP (9/28/2005) and handed out by Duke Adams at Pa Ag. Workgroup meeting
</t>
        </r>
      </text>
    </comment>
    <comment ref="A38" authorId="0" shape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shape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shapeId="0">
      <text>
        <r>
          <rPr>
            <sz val="8"/>
            <color indexed="81"/>
            <rFont val="Tahoma"/>
            <family val="2"/>
          </rPr>
          <t>These efficiencies are from going from conservation till to no-till. (not from going from conventional to no-till)</t>
        </r>
      </text>
    </comment>
    <comment ref="D49" authorId="0" shapeId="0">
      <text>
        <r>
          <rPr>
            <sz val="8"/>
            <color indexed="81"/>
            <rFont val="Tahoma"/>
            <family val="2"/>
          </rPr>
          <t xml:space="preserve">These efficiencies are from going from conservation till to no-till. (not from going from conventional to no-till)
</t>
        </r>
      </text>
    </comment>
    <comment ref="D50" authorId="0" shapeId="0">
      <text>
        <r>
          <rPr>
            <sz val="8"/>
            <color indexed="81"/>
            <rFont val="Tahoma"/>
            <family val="2"/>
          </rPr>
          <t>These efficiencies are from going from conservation till to no-till. (not from going from conventional to no-till)</t>
        </r>
      </text>
    </comment>
    <comment ref="D51" authorId="0" shapeId="0">
      <text>
        <r>
          <rPr>
            <sz val="8"/>
            <color indexed="81"/>
            <rFont val="Tahoma"/>
            <family val="2"/>
          </rPr>
          <t xml:space="preserve">These efficiencies are from going from conservation till to no-till. (not from going from conventional to no-till)
</t>
        </r>
      </text>
    </comment>
    <comment ref="A54" authorId="0" shapeId="0">
      <text>
        <r>
          <rPr>
            <sz val="8"/>
            <color indexed="81"/>
            <rFont val="Tahoma"/>
            <family val="2"/>
          </rPr>
          <t>THIS EFFICIENCY IS CURRENTLY NOT ABLE TO GENERATE CREDITS.</t>
        </r>
      </text>
    </comment>
    <comment ref="A60" authorId="0" shape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shape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<sst xmlns="http://schemas.openxmlformats.org/spreadsheetml/2006/main" count="1888" uniqueCount="880">
  <si>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</si>
  <si>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</si>
  <si>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</si>
  <si>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</si>
  <si>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</si>
  <si>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</si>
  <si>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</si>
  <si>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</si>
  <si>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</si>
  <si>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</si>
  <si>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</si>
  <si>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</si>
  <si>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</si>
  <si>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</si>
  <si>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</si>
  <si>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</si>
  <si>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</si>
  <si>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</si>
  <si>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</si>
  <si>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</si>
  <si>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</si>
  <si>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</si>
  <si>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</si>
  <si>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</si>
  <si>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</si>
  <si>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</si>
  <si>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</si>
  <si>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</si>
  <si>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</si>
  <si>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</si>
  <si>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</si>
  <si>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</si>
  <si>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</si>
  <si>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</si>
  <si>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</si>
  <si>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</si>
  <si>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</si>
  <si>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</si>
  <si>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</si>
  <si>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</si>
  <si>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</si>
  <si>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</si>
  <si>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</si>
  <si>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</si>
  <si>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</si>
  <si>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</si>
  <si>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</si>
  <si>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</si>
  <si>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</si>
  <si>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</si>
  <si>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</si>
  <si>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</si>
  <si>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</si>
  <si>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</si>
  <si>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</si>
  <si>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</si>
  <si>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</si>
  <si>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</si>
  <si>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</si>
  <si>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</si>
  <si>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</si>
  <si>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</si>
  <si>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</si>
  <si>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</si>
  <si>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</si>
  <si>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</si>
  <si>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</si>
  <si>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</si>
  <si>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</si>
  <si>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</si>
  <si>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</si>
  <si>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</si>
  <si>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</si>
  <si>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</si>
  <si>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</si>
  <si>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</si>
  <si>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</si>
  <si>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</si>
  <si>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</si>
  <si>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</si>
  <si>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</si>
  <si>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</si>
  <si>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</si>
  <si>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</si>
  <si>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</si>
  <si>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</si>
  <si>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</si>
  <si>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</si>
  <si>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</si>
  <si>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</si>
  <si>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</si>
  <si>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</si>
  <si>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</si>
  <si>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</si>
  <si>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</si>
  <si>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</si>
  <si>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</si>
  <si>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</si>
  <si>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</si>
  <si>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</si>
  <si>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</si>
  <si>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</si>
  <si>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</si>
  <si>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</si>
  <si>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</si>
  <si>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</si>
  <si>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</si>
  <si>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</si>
  <si>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</si>
  <si>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</si>
  <si>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</si>
  <si>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</si>
  <si>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</si>
  <si>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</si>
  <si>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</si>
  <si>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</si>
  <si>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</si>
  <si>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</si>
  <si>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</si>
  <si>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</si>
  <si>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</si>
  <si>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</si>
  <si>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</si>
  <si>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</si>
  <si>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</si>
  <si>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</si>
  <si>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</si>
  <si>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</si>
  <si>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</si>
  <si>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</si>
  <si>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</si>
  <si>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</si>
  <si>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</si>
  <si>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</si>
  <si>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</si>
  <si>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</si>
  <si>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</si>
  <si>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</si>
  <si>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</si>
  <si>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</si>
  <si>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</si>
  <si>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</si>
  <si>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</si>
  <si>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</si>
  <si>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</si>
  <si>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</si>
  <si>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</si>
  <si>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</si>
  <si>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</si>
  <si>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</si>
  <si>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</si>
  <si>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</si>
  <si>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</si>
  <si>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</si>
  <si>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</si>
  <si>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</si>
  <si>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</si>
  <si>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</si>
  <si>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</si>
  <si>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</si>
  <si>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</si>
  <si>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</si>
  <si>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</si>
  <si>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</si>
  <si>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</si>
  <si>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</si>
  <si>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</si>
  <si>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</si>
  <si>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</si>
  <si>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</si>
  <si>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</si>
  <si>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</si>
  <si>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</si>
  <si>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</si>
  <si>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</si>
  <si>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</si>
  <si>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</si>
  <si>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</si>
  <si>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</si>
  <si>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</si>
  <si>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</si>
  <si>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</si>
  <si>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</si>
  <si>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</si>
  <si>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</si>
  <si>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</si>
  <si>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</si>
  <si>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</si>
  <si>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</si>
  <si>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</si>
  <si>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</si>
  <si>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</si>
  <si>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</si>
  <si>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</si>
  <si>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</si>
  <si>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</si>
  <si>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</si>
  <si>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</si>
  <si>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</si>
  <si>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</si>
  <si>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</si>
  <si>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</si>
  <si>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</si>
  <si>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</si>
  <si>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</si>
  <si>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</si>
  <si>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</si>
  <si>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</si>
  <si>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</si>
  <si>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</si>
  <si>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</si>
  <si>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</si>
  <si>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</si>
  <si>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</si>
  <si>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</si>
  <si>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</si>
  <si>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</si>
  <si>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</si>
  <si>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</si>
  <si>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</si>
  <si>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</si>
  <si>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</si>
  <si>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</si>
  <si>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</si>
  <si>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</si>
  <si>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</si>
  <si>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</si>
  <si>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</si>
  <si>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</si>
  <si>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</si>
  <si>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</si>
  <si>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</si>
  <si>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</si>
  <si>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</si>
  <si>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</si>
  <si>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</si>
  <si>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</si>
  <si>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</si>
  <si>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</si>
  <si>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</si>
  <si>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</si>
  <si>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</si>
  <si>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</si>
  <si>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</si>
  <si>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</si>
  <si>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</si>
  <si>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</si>
  <si>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</si>
  <si>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</si>
  <si>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</si>
  <si>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</si>
  <si>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</si>
  <si>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</si>
  <si>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</si>
  <si>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</si>
  <si>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</si>
  <si>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</si>
  <si>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</si>
  <si>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</si>
  <si>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</si>
  <si>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</si>
  <si>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</si>
  <si>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</si>
  <si>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</si>
  <si>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</si>
  <si>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</si>
  <si>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</si>
  <si>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</si>
  <si>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</si>
  <si>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</si>
  <si>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</si>
  <si>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</si>
  <si>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</si>
  <si>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</si>
  <si>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</si>
  <si>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</si>
  <si>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</si>
  <si>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</si>
  <si>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</si>
  <si>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</si>
  <si>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</si>
  <si>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</si>
  <si>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</si>
  <si>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</si>
  <si>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</si>
  <si>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</si>
  <si>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</si>
  <si>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</si>
  <si>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</si>
  <si>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</si>
  <si>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</si>
  <si>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</si>
  <si>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</si>
  <si>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</si>
  <si>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</si>
  <si>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</si>
  <si>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</si>
  <si>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</si>
  <si>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</si>
  <si>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</si>
  <si>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</si>
  <si>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</si>
  <si>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</si>
  <si>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</si>
  <si>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</si>
  <si>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</si>
  <si>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</si>
  <si>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</si>
  <si>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</si>
  <si>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</si>
  <si>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</si>
  <si>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</si>
  <si>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</si>
  <si>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</si>
  <si>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</si>
  <si>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</si>
  <si>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</si>
  <si>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</si>
  <si>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</si>
  <si>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</si>
  <si>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</si>
  <si>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</si>
  <si>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</si>
  <si>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</si>
  <si>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</si>
  <si>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</si>
  <si>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</si>
  <si>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</si>
  <si>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</si>
  <si>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</si>
  <si>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</si>
  <si>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</si>
  <si>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</si>
  <si>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</si>
  <si>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</si>
  <si>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</si>
  <si>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</si>
  <si>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</si>
  <si>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</si>
  <si>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</si>
  <si>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</si>
  <si>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</si>
  <si>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</si>
  <si>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</si>
  <si>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</si>
  <si>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</si>
  <si>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</si>
  <si>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</si>
  <si>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</si>
  <si>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</si>
  <si>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</si>
  <si>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</si>
  <si>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</si>
  <si>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</si>
  <si>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</si>
  <si>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</si>
  <si>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</si>
  <si>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</si>
  <si>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</si>
  <si>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</si>
  <si>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</si>
  <si>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</si>
  <si>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</si>
  <si>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</si>
  <si>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</si>
  <si>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</si>
  <si>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</si>
  <si>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</si>
  <si>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</si>
  <si>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</si>
  <si>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</si>
  <si>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</si>
  <si>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</si>
  <si>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</si>
  <si>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</si>
  <si>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</si>
  <si>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</si>
  <si>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</si>
  <si>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</si>
  <si>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</si>
  <si>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</si>
  <si>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</si>
  <si>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</si>
  <si>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</si>
  <si>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</si>
  <si>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</si>
  <si>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</si>
  <si>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</si>
  <si>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</si>
  <si>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</si>
  <si>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</si>
  <si>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</si>
  <si>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</si>
  <si>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</si>
  <si>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</si>
  <si>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</si>
  <si>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</si>
  <si>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</si>
  <si>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</si>
  <si>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</si>
  <si>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</si>
  <si>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</si>
  <si>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</si>
  <si>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</si>
  <si>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</si>
  <si>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</si>
  <si>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</si>
  <si>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</si>
  <si>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</si>
  <si>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</si>
  <si>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</si>
  <si>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</si>
  <si>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</si>
  <si>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</si>
  <si>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</si>
  <si>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</si>
  <si>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</si>
  <si>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</si>
  <si>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</si>
  <si>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</si>
  <si>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</si>
  <si>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</si>
  <si>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</si>
  <si>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</si>
  <si>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</si>
  <si>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</si>
  <si>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</si>
  <si>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</si>
  <si>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</si>
  <si>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</si>
  <si>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</si>
  <si>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</si>
  <si>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</si>
  <si>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</si>
  <si>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</si>
  <si>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</si>
  <si>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</si>
  <si>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</si>
  <si>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</si>
  <si>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</si>
  <si>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</si>
  <si>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</si>
  <si>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</si>
  <si>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</si>
  <si>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</si>
  <si>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</si>
  <si>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</si>
  <si>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</si>
  <si>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</si>
  <si>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</si>
  <si>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</si>
  <si>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</si>
  <si>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</si>
  <si>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</si>
  <si>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</si>
  <si>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</si>
  <si>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</si>
  <si>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</si>
  <si>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</si>
  <si>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</si>
  <si>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</si>
  <si>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</si>
  <si>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</si>
  <si>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</si>
  <si>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</si>
  <si>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</si>
  <si>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</si>
  <si>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</si>
  <si>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</si>
  <si>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</si>
  <si>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</si>
  <si>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</si>
  <si>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</si>
  <si>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</si>
  <si>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</si>
  <si>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</si>
  <si>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</si>
  <si>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</si>
  <si>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</si>
  <si>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</si>
  <si>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</si>
  <si>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</si>
  <si>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</si>
  <si>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</si>
  <si>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</si>
  <si>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</si>
  <si>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</si>
  <si>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</si>
  <si>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</si>
  <si>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</si>
  <si>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</si>
  <si>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</si>
  <si>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</si>
  <si>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</si>
  <si>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</si>
  <si>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</si>
  <si>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</si>
  <si>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</si>
  <si>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</si>
  <si>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</si>
  <si>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</si>
  <si>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</si>
  <si>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</si>
  <si>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</si>
  <si>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</si>
  <si>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</si>
  <si>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</si>
  <si>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</si>
  <si>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</si>
  <si>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</si>
  <si>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</si>
  <si>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</si>
  <si>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</si>
  <si>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</si>
  <si>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</si>
  <si>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</si>
  <si>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</si>
  <si>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</si>
  <si>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</si>
  <si>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</si>
  <si>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</si>
  <si>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</si>
  <si>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</si>
  <si>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</si>
  <si>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</si>
  <si>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</si>
  <si>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</si>
  <si>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</si>
  <si>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</si>
  <si>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</si>
  <si>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</si>
  <si>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</si>
  <si>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</si>
  <si>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</si>
  <si>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</si>
  <si>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</si>
  <si>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</si>
  <si>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</si>
  <si>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</si>
  <si>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</si>
  <si>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</si>
  <si>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</si>
  <si>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</si>
  <si>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</si>
  <si>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</si>
  <si>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</si>
  <si>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</si>
  <si>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</si>
  <si>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</si>
  <si>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</si>
  <si>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</si>
  <si>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</si>
  <si>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</si>
  <si>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</si>
  <si>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</si>
  <si>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</si>
  <si>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</si>
  <si>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</si>
  <si>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</si>
  <si>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</si>
  <si>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</si>
  <si>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</si>
  <si>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</si>
  <si>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</si>
  <si>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</si>
  <si>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</si>
  <si>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</si>
  <si>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</si>
  <si>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</si>
  <si>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</si>
  <si>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</si>
  <si>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</si>
  <si>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</si>
  <si>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</si>
  <si>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</si>
  <si>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</si>
  <si>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</si>
  <si>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</si>
  <si>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</si>
  <si>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</si>
  <si>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</si>
  <si>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</si>
  <si>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</si>
  <si>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</si>
  <si>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</si>
  <si>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</si>
  <si>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</si>
  <si>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</si>
  <si>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</si>
  <si>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</si>
  <si>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</si>
  <si>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</si>
  <si>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</si>
  <si>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</si>
  <si>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</si>
  <si>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</si>
  <si>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</si>
  <si>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</si>
  <si>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</si>
  <si>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</si>
  <si>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</si>
  <si>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</si>
  <si>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</si>
  <si>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</si>
  <si>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</si>
  <si>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</si>
  <si>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</si>
  <si>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</si>
  <si>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</si>
  <si>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</si>
  <si>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</si>
  <si>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</si>
  <si>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</si>
  <si>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</si>
  <si>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</si>
  <si>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</si>
  <si>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</si>
  <si>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</si>
  <si>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</si>
  <si>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</si>
  <si>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</si>
  <si>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</si>
  <si>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</si>
  <si>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</si>
  <si>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</si>
  <si>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</si>
  <si>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</si>
  <si>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</si>
  <si>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</si>
  <si>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</si>
  <si>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</si>
  <si>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</si>
  <si>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</si>
  <si>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</si>
  <si>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</si>
  <si>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</si>
  <si>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</si>
  <si>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</si>
  <si>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</si>
  <si>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</si>
  <si>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</si>
  <si>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</si>
  <si>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</si>
  <si>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</si>
  <si>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</si>
  <si>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</si>
  <si>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</si>
  <si>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</si>
  <si>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</si>
  <si>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</si>
  <si>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</si>
  <si>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</si>
  <si>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</si>
  <si>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</si>
  <si>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</si>
  <si>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</si>
  <si>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</si>
  <si>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</si>
  <si>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</si>
  <si>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</si>
  <si>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</si>
  <si>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</si>
  <si>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</si>
  <si>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</si>
  <si>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</si>
  <si>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</si>
  <si>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</si>
  <si>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</si>
  <si>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</si>
  <si>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</si>
  <si>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</si>
  <si>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</si>
  <si>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</si>
  <si>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</si>
  <si>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</si>
  <si>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</si>
  <si>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</si>
  <si>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</si>
  <si>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</si>
  <si>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</si>
  <si>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</si>
  <si>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</si>
  <si>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</si>
  <si>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</si>
  <si>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</si>
  <si>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</si>
  <si>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</si>
  <si>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</si>
  <si>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</si>
  <si>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</si>
  <si>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</si>
  <si>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</si>
  <si>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</si>
  <si>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</si>
  <si>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</si>
  <si>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</si>
  <si>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</si>
  <si>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</si>
  <si>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</si>
  <si>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</si>
  <si>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</si>
  <si>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</si>
  <si>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</si>
  <si>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</si>
  <si>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</si>
  <si>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</si>
  <si>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</si>
  <si>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</si>
  <si>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</si>
  <si>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</si>
  <si>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</si>
  <si>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</si>
  <si>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</si>
  <si>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</si>
  <si>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</si>
  <si>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</si>
  <si>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</si>
  <si>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</si>
  <si>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</si>
  <si>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</si>
  <si>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</si>
  <si>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</si>
  <si>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</si>
  <si>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</si>
  <si>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</si>
  <si>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</si>
  <si>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</si>
  <si>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</si>
  <si>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</si>
  <si>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</si>
  <si>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</si>
  <si>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</si>
  <si>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</si>
  <si>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</si>
  <si>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</si>
  <si>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</si>
  <si>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</si>
  <si>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</si>
  <si>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</si>
  <si>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</si>
  <si>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</si>
  <si>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</si>
  <si>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</si>
  <si>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</si>
  <si>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</si>
  <si>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</si>
  <si>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</si>
  <si>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</si>
  <si>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</si>
  <si>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</si>
  <si>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</si>
  <si>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</si>
  <si>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</si>
  <si>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</si>
  <si>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</si>
  <si>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</si>
  <si>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</si>
  <si>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</si>
  <si>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</si>
  <si>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</si>
  <si>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</si>
  <si>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</si>
  <si>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</si>
  <si>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</si>
  <si>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</si>
  <si>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</si>
  <si>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</si>
  <si>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</si>
  <si>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</si>
  <si>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</si>
  <si>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</si>
  <si>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</si>
  <si>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</si>
  <si>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</si>
  <si>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</si>
  <si>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</si>
  <si>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</si>
  <si>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</si>
  <si>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</si>
  <si>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</si>
  <si>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</si>
  <si>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</si>
  <si>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</si>
  <si>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</si>
  <si>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</si>
  <si>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</si>
  <si>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</si>
  <si>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</si>
  <si>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</si>
  <si>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</si>
  <si>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</si>
  <si>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</si>
  <si>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</si>
  <si>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</si>
  <si>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</si>
  <si>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</si>
  <si>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</si>
  <si>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</si>
  <si>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</si>
  <si>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</si>
  <si>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</si>
  <si>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</si>
  <si>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</si>
  <si>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</si>
  <si>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</si>
  <si>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</si>
  <si>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</si>
  <si>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</si>
  <si>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</si>
  <si>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</si>
  <si>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</si>
  <si>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</si>
  <si>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</si>
  <si>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</si>
  <si>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</si>
  <si>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</si>
  <si>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</si>
  <si>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</si>
  <si>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</si>
  <si>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</si>
  <si>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</si>
  <si>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</si>
  <si>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</si>
  <si>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</si>
  <si>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</si>
  <si>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</si>
  <si>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</si>
  <si>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</si>
  <si>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</si>
  <si>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</si>
  <si>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</si>
  <si>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</si>
  <si>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</si>
  <si>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</si>
  <si>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</si>
  <si>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</si>
  <si>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</si>
  <si>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</si>
  <si>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</si>
  <si>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</si>
  <si>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</si>
  <si>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</si>
  <si>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</si>
  <si>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</si>
  <si>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</si>
  <si>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</si>
  <si>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</si>
  <si>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</si>
  <si>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</si>
  <si>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</si>
  <si>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</si>
  <si>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</si>
  <si>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</si>
  <si>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</si>
  <si>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</si>
  <si>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</si>
  <si>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</si>
  <si>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</si>
  <si>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</si>
  <si>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</si>
  <si>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</si>
  <si>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</si>
  <si>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</si>
  <si>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</si>
  <si>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</si>
  <si>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</si>
  <si>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</si>
  <si>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</si>
  <si>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</si>
  <si>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</si>
  <si>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</si>
  <si>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</si>
  <si>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</si>
  <si>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Rod Morehart</t>
  </si>
  <si>
    <t>Lycoming County Conservation District</t>
  </si>
  <si>
    <t>570-329-1619</t>
  </si>
  <si>
    <t>rmorehart@lyco.org</t>
  </si>
  <si>
    <t>Yes</t>
  </si>
  <si>
    <t>County Conservation District</t>
  </si>
  <si>
    <t>JRT Farms T 554 F 2 &amp;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</si>
</sst>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166" zoomScaleNormal="100" workbookViewId="0">
      <selection activeCell="K9" sqref="K9"/>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44392</v>
      </c>
      <c r="G6" s="479"/>
      <c r="H6" s="479"/>
      <c r="I6" s="480"/>
      <c r="J6" s="316"/>
      <c r="K6" s="316"/>
      <c r="L6" s="316"/>
      <c r="M6" s="316"/>
    </row>
    <row r="7" spans="1:13" ht="12.75" customHeight="1" x14ac:dyDescent="0.2">
      <c r="A7" s="316"/>
      <c r="B7" s="316"/>
      <c r="C7" s="316"/>
      <c r="D7" s="316" t="s">
        <v>578</v>
      </c>
      <c r="E7" s="316"/>
      <c r="F7" s="464" t="s">
        <v>879</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873</v>
      </c>
      <c r="G10" s="482"/>
      <c r="H10" s="482"/>
      <c r="I10" s="483"/>
      <c r="J10" s="26"/>
      <c r="K10" s="26"/>
      <c r="L10" s="26"/>
      <c r="M10" s="26"/>
    </row>
    <row r="11" spans="1:13" x14ac:dyDescent="0.2">
      <c r="A11" s="39"/>
      <c r="B11" s="26"/>
      <c r="C11" s="26"/>
      <c r="D11" s="26" t="s">
        <v>400</v>
      </c>
      <c r="E11" s="26"/>
      <c r="F11" s="484" t="s">
        <v>874</v>
      </c>
      <c r="G11" s="485"/>
      <c r="H11" s="485"/>
      <c r="I11" s="485"/>
      <c r="J11" s="486"/>
      <c r="K11" s="486"/>
      <c r="L11" s="26"/>
      <c r="M11" s="26"/>
    </row>
    <row r="12" spans="1:13" x14ac:dyDescent="0.2">
      <c r="A12" s="39"/>
      <c r="B12" s="26"/>
      <c r="C12" s="26"/>
      <c r="D12" s="26" t="s">
        <v>401</v>
      </c>
      <c r="E12" s="26"/>
      <c r="F12" s="487" t="s">
        <v>875</v>
      </c>
      <c r="G12" s="488"/>
      <c r="H12" s="488"/>
      <c r="I12" s="489"/>
      <c r="J12" s="156"/>
      <c r="K12" s="156"/>
      <c r="L12" s="26"/>
      <c r="M12" s="26"/>
    </row>
    <row r="13" spans="1:13" x14ac:dyDescent="0.2">
      <c r="A13" s="39"/>
      <c r="B13" s="26"/>
      <c r="C13" s="26"/>
      <c r="D13" s="26" t="s">
        <v>558</v>
      </c>
      <c r="E13" s="26"/>
      <c r="F13" s="491" t="s">
        <v>876</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877</v>
      </c>
      <c r="C21" s="458"/>
      <c r="D21" s="459"/>
      <c r="E21" s="99"/>
      <c r="F21" s="99"/>
      <c r="G21" s="99"/>
      <c r="H21" s="99"/>
      <c r="I21" s="99"/>
      <c r="J21" s="99"/>
      <c r="K21" s="99"/>
      <c r="L21" s="100"/>
      <c r="M21" s="26"/>
    </row>
    <row r="22" spans="1:13" x14ac:dyDescent="0.2">
      <c r="A22" s="109" t="s">
        <v>375</v>
      </c>
      <c r="B22" s="40" t="s">
        <v>21</v>
      </c>
      <c r="C22" s="26"/>
      <c r="D22" s="99"/>
      <c r="E22" s="40"/>
      <c r="F22" s="460" t="s">
        <v>878</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105</v>
      </c>
      <c r="H38" s="465"/>
      <c r="I38" s="465"/>
      <c r="J38" s="465"/>
      <c r="K38" s="465"/>
      <c r="L38" s="466"/>
      <c r="M38" s="26"/>
    </row>
    <row r="39" spans="1:13" x14ac:dyDescent="0.2">
      <c r="A39" s="136" t="s">
        <v>375</v>
      </c>
      <c r="B39" s="463" t="s">
        <v>403</v>
      </c>
      <c r="C39" s="463"/>
      <c r="D39" s="463"/>
      <c r="E39" s="463"/>
      <c r="F39" s="26"/>
      <c r="G39" s="154">
        <v>26.7</v>
      </c>
      <c r="H39" s="42"/>
      <c r="I39" s="42"/>
      <c r="J39" s="42"/>
      <c r="K39" s="46"/>
      <c r="L39" s="46"/>
      <c r="M39" s="26"/>
    </row>
    <row r="40" spans="1:13" x14ac:dyDescent="0.2">
      <c r="A40" s="136" t="s">
        <v>376</v>
      </c>
      <c r="B40" s="463" t="s">
        <v>370</v>
      </c>
      <c r="C40" s="463"/>
      <c r="D40" s="463"/>
      <c r="E40" s="463"/>
      <c r="F40" s="26"/>
      <c r="G40" s="329">
        <v>150</v>
      </c>
      <c r="H40" s="48" t="str">
        <f>CONCATENATE(VLOOKUP(G38, 'Data Tables'!A4:C78, 3, FALSE), B257)</f>
        <v>bu per acre</v>
      </c>
      <c r="I40" s="26"/>
      <c r="J40" s="42"/>
      <c r="K40" s="46"/>
      <c r="L40" s="46"/>
      <c r="M40" s="26"/>
    </row>
    <row r="41" spans="1:13" x14ac:dyDescent="0.2">
      <c r="A41" s="136" t="s">
        <v>377</v>
      </c>
      <c r="B41" s="42" t="s">
        <v>622</v>
      </c>
      <c r="C41" s="42"/>
      <c r="D41" s="42"/>
      <c r="E41" s="42"/>
      <c r="F41" s="26"/>
      <c r="G41" s="467" t="s">
        <v>856</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82</v>
      </c>
      <c r="G50" s="40" t="s">
        <v>268</v>
      </c>
      <c r="H50" s="40"/>
      <c r="I50" s="40"/>
      <c r="J50" s="154">
        <v>82</v>
      </c>
      <c r="K50" s="26"/>
      <c r="L50" s="26"/>
      <c r="M50" s="26"/>
    </row>
    <row r="51" spans="1:13" x14ac:dyDescent="0.2">
      <c r="A51" s="136" t="s">
        <v>375</v>
      </c>
      <c r="B51" s="27" t="s">
        <v>502</v>
      </c>
      <c r="C51" s="41"/>
      <c r="D51" s="39"/>
      <c r="E51" s="26"/>
      <c r="F51" s="396">
        <f>'Calculations- All Data'!F57</f>
        <v>82</v>
      </c>
      <c r="G51" s="42" t="s">
        <v>268</v>
      </c>
      <c r="H51" s="42"/>
      <c r="I51" s="42"/>
      <c r="J51" s="397">
        <f>'Calculations- All Data'!J57</f>
        <v>82</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82</v>
      </c>
      <c r="G85" s="27" t="s">
        <v>268</v>
      </c>
      <c r="H85" s="39"/>
      <c r="I85" s="385" t="s">
        <v>14</v>
      </c>
      <c r="J85" s="395">
        <f>'Calculations- All Data'!J98</f>
        <v>82</v>
      </c>
      <c r="K85" s="26" t="s">
        <v>268</v>
      </c>
      <c r="L85" s="26"/>
      <c r="M85" s="26"/>
    </row>
    <row r="86" spans="1:13" ht="13.5" thickBot="1" x14ac:dyDescent="0.25">
      <c r="A86" s="253" t="s">
        <v>601</v>
      </c>
      <c r="B86" s="26"/>
      <c r="C86" s="26"/>
      <c r="D86" s="26"/>
      <c r="E86" s="252"/>
      <c r="F86" s="399">
        <f>'Calculations- All Data'!F99</f>
        <v>82</v>
      </c>
      <c r="G86" s="27" t="s">
        <v>268</v>
      </c>
      <c r="H86" s="39"/>
      <c r="I86" s="385" t="s">
        <v>14</v>
      </c>
      <c r="J86" s="395">
        <f>'Calculations- All Data'!J99</f>
        <v>82</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109</v>
      </c>
      <c r="G101" s="473"/>
      <c r="H101" s="473"/>
      <c r="I101" s="474"/>
      <c r="J101" s="26"/>
      <c r="K101" s="26"/>
      <c r="L101" s="26"/>
      <c r="M101" s="26"/>
    </row>
    <row r="102" spans="1:13" x14ac:dyDescent="0.2">
      <c r="A102" s="136"/>
      <c r="B102" s="40"/>
      <c r="C102" s="26" t="s">
        <v>589</v>
      </c>
      <c r="D102" s="26"/>
      <c r="E102" s="26"/>
      <c r="F102" s="471" t="s">
        <v>201</v>
      </c>
      <c r="G102" s="468"/>
      <c r="H102" s="468"/>
      <c r="I102" s="469"/>
      <c r="J102" s="26"/>
      <c r="K102" s="26"/>
      <c r="L102" s="26"/>
      <c r="M102" s="26"/>
    </row>
    <row r="103" spans="1:13" x14ac:dyDescent="0.2">
      <c r="A103" s="26"/>
      <c r="B103" s="40"/>
      <c r="C103" s="41" t="s">
        <v>373</v>
      </c>
      <c r="D103" s="26"/>
      <c r="E103" s="26"/>
      <c r="F103" s="155">
        <v>50</v>
      </c>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50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150</v>
      </c>
      <c r="H112" s="43" t="s">
        <v>592</v>
      </c>
      <c r="I112" s="42"/>
      <c r="J112" s="46"/>
      <c r="K112" s="46"/>
      <c r="L112" s="26"/>
      <c r="M112" s="26"/>
    </row>
    <row r="113" spans="1:13" x14ac:dyDescent="0.2">
      <c r="A113" s="26"/>
      <c r="B113" s="26"/>
      <c r="C113" s="27" t="s">
        <v>508</v>
      </c>
      <c r="D113" s="26"/>
      <c r="E113" s="26"/>
      <c r="F113" s="26"/>
      <c r="G113" s="318">
        <f>'Calculations- All Data'!F117</f>
        <v>132</v>
      </c>
      <c r="H113" s="26" t="s">
        <v>547</v>
      </c>
      <c r="I113" s="26"/>
      <c r="J113" s="26"/>
      <c r="K113" s="26"/>
      <c r="L113" s="26"/>
      <c r="M113" s="26"/>
    </row>
    <row r="114" spans="1:13" ht="13.5" thickBot="1" x14ac:dyDescent="0.25">
      <c r="A114" s="26"/>
      <c r="B114" s="26"/>
      <c r="C114" s="27" t="s">
        <v>509</v>
      </c>
      <c r="D114" s="26"/>
      <c r="E114" s="26"/>
      <c r="F114" s="324"/>
      <c r="G114" s="318">
        <f>'Calculations- All Data'!F118</f>
        <v>132</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132</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118.935</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13.064999999999998</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5.879249999999999</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2.2198536523199239</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3.659396347680075</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97.705882483058005</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518</v>
      </c>
      <c r="G148" s="441"/>
      <c r="H148" s="441"/>
      <c r="I148" s="441"/>
      <c r="J148" s="441"/>
      <c r="K148" s="255"/>
      <c r="L148" s="99"/>
      <c r="M148" s="99"/>
    </row>
    <row r="149" spans="1:13" s="97" customFormat="1" ht="22.5" customHeight="1" x14ac:dyDescent="0.2">
      <c r="A149" s="205"/>
      <c r="B149" s="99"/>
      <c r="C149" s="99"/>
      <c r="D149" s="99"/>
      <c r="E149" s="263" t="s">
        <v>425</v>
      </c>
      <c r="F149" s="440"/>
      <c r="G149" s="441"/>
      <c r="H149" s="441"/>
      <c r="I149" s="441"/>
      <c r="J149" s="441"/>
      <c r="K149" s="256"/>
      <c r="L149" s="99"/>
      <c r="M149" s="99"/>
    </row>
    <row r="150" spans="1:13" s="97" customFormat="1" ht="22.5" customHeight="1" x14ac:dyDescent="0.2">
      <c r="A150" s="205"/>
      <c r="B150" s="99"/>
      <c r="C150" s="99"/>
      <c r="D150" s="99"/>
      <c r="E150" s="263" t="s">
        <v>425</v>
      </c>
      <c r="F150" s="440"/>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26.7</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590</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29.311764744917401</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29.311764744917401</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27.582370624967272</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28</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25</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44392</v>
      </c>
      <c r="G4" s="537"/>
      <c r="H4" s="537"/>
      <c r="I4" s="538"/>
      <c r="J4" s="317"/>
      <c r="K4" s="317"/>
      <c r="L4" s="317"/>
      <c r="M4" s="317"/>
    </row>
    <row r="5" spans="1:13" x14ac:dyDescent="0.2">
      <c r="A5" s="317"/>
      <c r="B5" s="317"/>
      <c r="C5" s="317"/>
      <c r="D5" s="317" t="s">
        <v>578</v>
      </c>
      <c r="E5" s="317"/>
      <c r="F5" s="539" t="str">
        <f>'CREDIT CALCULATION FORM'!F7:K7</f>
        <v>JRT Farms T 554 F 2 &amp; 3</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Corn-Field, for grain (shelled, yellow dent, grade #1) </v>
      </c>
      <c r="G40" s="556"/>
      <c r="H40" s="556"/>
      <c r="I40" s="556"/>
      <c r="J40" s="556"/>
      <c r="K40" s="557"/>
      <c r="L40" s="128"/>
      <c r="M40" s="110"/>
    </row>
    <row r="41" spans="1:13" x14ac:dyDescent="0.2">
      <c r="A41" s="110"/>
      <c r="B41" s="122"/>
      <c r="C41" s="122" t="s">
        <v>445</v>
      </c>
      <c r="D41" s="122"/>
      <c r="E41" s="122"/>
      <c r="F41" s="394" t="str">
        <f>VLOOKUP(F40, 'Data Tables'!A4:B78, 2, FALSE)</f>
        <v>yield</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1</v>
      </c>
      <c r="G42" s="141" t="str">
        <f>IF(F41="yield", "lbs N/unit of yield", "lbs N/ac")</f>
        <v>lbs N/unit of yield</v>
      </c>
      <c r="H42" s="141"/>
      <c r="I42" s="141"/>
      <c r="J42" s="141"/>
      <c r="K42" s="141"/>
      <c r="L42" s="128"/>
      <c r="M42" s="110"/>
    </row>
    <row r="43" spans="1:13" x14ac:dyDescent="0.2">
      <c r="A43" s="110"/>
      <c r="B43" s="506" t="s">
        <v>31</v>
      </c>
      <c r="C43" s="506"/>
      <c r="D43" s="506"/>
      <c r="E43" s="506"/>
      <c r="F43" s="147">
        <f>'CREDIT CALCULATION FORM'!G39</f>
        <v>26.7</v>
      </c>
      <c r="G43" s="122"/>
      <c r="H43" s="122"/>
      <c r="I43" s="122"/>
      <c r="J43" s="120"/>
      <c r="K43" s="120"/>
      <c r="L43" s="110"/>
      <c r="M43" s="110"/>
    </row>
    <row r="44" spans="1:13" x14ac:dyDescent="0.2">
      <c r="A44" s="110"/>
      <c r="B44" s="506" t="s">
        <v>32</v>
      </c>
      <c r="C44" s="506"/>
      <c r="D44" s="506"/>
      <c r="E44" s="506"/>
      <c r="F44" s="215">
        <f>'CREDIT CALCULATION FORM'!G40</f>
        <v>150</v>
      </c>
      <c r="G44" s="126" t="str">
        <f>CONCATENATE(VLOOKUP(F40, 'Data Tables'!A4:C78, 3, FALSE), B220)</f>
        <v>bu per acre</v>
      </c>
      <c r="H44" s="110"/>
      <c r="I44" s="122"/>
      <c r="J44" s="120" t="s">
        <v>859</v>
      </c>
      <c r="K44" s="356" t="s">
        <v>852</v>
      </c>
      <c r="L44" s="365" t="s">
        <v>853</v>
      </c>
      <c r="M44" s="110"/>
    </row>
    <row r="45" spans="1:13" x14ac:dyDescent="0.2">
      <c r="A45" s="110"/>
      <c r="B45" s="122" t="s">
        <v>621</v>
      </c>
      <c r="C45" s="122"/>
      <c r="D45" s="122"/>
      <c r="E45" s="122"/>
      <c r="F45" s="500" t="str">
        <f>'CREDIT CALCULATION FORM'!G41</f>
        <v>Continuous No-Till</v>
      </c>
      <c r="G45" s="501"/>
      <c r="H45" s="501"/>
      <c r="I45" s="189"/>
      <c r="J45" s="102" t="str">
        <f>IF(OR(F45="Conservation Till", F45="Continuous No-Till"),CONCATENATE(F46, "high till to low till"), "0")</f>
        <v>70high till to low till</v>
      </c>
      <c r="K45" s="363">
        <f>IF(J45="0", "0", VLOOKUP(J45, 'BMPs and Bay Model Data'!A326:B351, 2, FALSE))</f>
        <v>0.26773446039184157</v>
      </c>
      <c r="L45" s="367">
        <f>IF(F45="Continuous No-Till", VLOOKUP(CONCATENATE(F45,F49),'BMPs and Bay Model Data'!C50:D51, 2, FALSE), 0)</f>
        <v>0.15</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82</v>
      </c>
      <c r="G56" s="117" t="s">
        <v>268</v>
      </c>
      <c r="H56" s="117"/>
      <c r="I56" s="117"/>
      <c r="J56" s="101">
        <f>'CREDIT CALCULATION FORM'!J50</f>
        <v>82</v>
      </c>
      <c r="K56" s="117" t="s">
        <v>268</v>
      </c>
      <c r="L56" s="117"/>
      <c r="M56" s="110"/>
    </row>
    <row r="57" spans="1:13" x14ac:dyDescent="0.2">
      <c r="A57" s="110"/>
      <c r="B57" s="131" t="s">
        <v>502</v>
      </c>
      <c r="C57" s="119"/>
      <c r="D57" s="116"/>
      <c r="E57" s="110"/>
      <c r="F57" s="247">
        <f>F56</f>
        <v>82</v>
      </c>
      <c r="G57" s="119" t="s">
        <v>268</v>
      </c>
      <c r="H57" s="117"/>
      <c r="I57" s="117"/>
      <c r="J57" s="247">
        <f>J56</f>
        <v>82</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82</v>
      </c>
      <c r="G98" s="119" t="s">
        <v>268</v>
      </c>
      <c r="H98" s="191" t="s">
        <v>14</v>
      </c>
      <c r="I98" s="117"/>
      <c r="J98" s="402">
        <f>IF(SUM(J57, J69, J82, J95)=0, F98, SUM(J57, J82, J69,J95))</f>
        <v>82</v>
      </c>
      <c r="K98" s="110" t="s">
        <v>268</v>
      </c>
      <c r="L98" s="110"/>
      <c r="M98" s="110"/>
    </row>
    <row r="99" spans="1:13" ht="13.5" thickBot="1" x14ac:dyDescent="0.25">
      <c r="A99" s="110"/>
      <c r="B99" s="116" t="s">
        <v>511</v>
      </c>
      <c r="C99" s="119"/>
      <c r="D99" s="110"/>
      <c r="E99" s="110"/>
      <c r="F99" s="402">
        <f>SUM(F96, F83, F70, F57)</f>
        <v>82</v>
      </c>
      <c r="G99" s="119" t="s">
        <v>268</v>
      </c>
      <c r="H99" s="191" t="s">
        <v>14</v>
      </c>
      <c r="I99" s="191"/>
      <c r="J99" s="402">
        <f>IF(SUM(J96, J83, J70, J57)=0, F99, SUM(J96, J83, J70, J57))</f>
        <v>82</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 xml:space="preserve">Soybeans </v>
      </c>
      <c r="G105" s="523"/>
      <c r="H105" s="523"/>
      <c r="I105" s="524"/>
      <c r="J105" s="110"/>
      <c r="K105" s="110"/>
      <c r="L105" s="110"/>
      <c r="M105" s="110"/>
    </row>
    <row r="106" spans="1:13" x14ac:dyDescent="0.2">
      <c r="A106" s="110"/>
      <c r="B106" s="117"/>
      <c r="C106" s="110" t="s">
        <v>447</v>
      </c>
      <c r="D106" s="110"/>
      <c r="E106" s="110"/>
      <c r="F106" s="471" t="str">
        <f>'CREDIT CALCULATION FORM'!F102</f>
        <v xml:space="preserve">Wheeling </v>
      </c>
      <c r="G106" s="501"/>
      <c r="H106" s="501"/>
      <c r="I106" s="521"/>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50</v>
      </c>
      <c r="G108" s="119" t="s">
        <v>588</v>
      </c>
      <c r="H108" s="117"/>
      <c r="I108" s="117"/>
      <c r="J108" s="110"/>
      <c r="K108" s="110"/>
      <c r="L108" s="110"/>
      <c r="M108" s="110"/>
    </row>
    <row r="109" spans="1:13" x14ac:dyDescent="0.2">
      <c r="A109" s="110"/>
      <c r="B109" s="117"/>
      <c r="C109" s="119" t="s">
        <v>449</v>
      </c>
      <c r="D109" s="110"/>
      <c r="E109" s="110"/>
      <c r="F109" s="520" t="str">
        <f>CONCATENATE(F105, F107)</f>
        <v>Soybeans 1</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50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150</v>
      </c>
      <c r="G116" s="124" t="s">
        <v>365</v>
      </c>
      <c r="H116" s="122"/>
      <c r="I116" s="122"/>
      <c r="J116" s="120"/>
      <c r="K116" s="120"/>
      <c r="L116" s="110"/>
      <c r="M116" s="110"/>
    </row>
    <row r="117" spans="1:15" x14ac:dyDescent="0.2">
      <c r="A117" s="110"/>
      <c r="B117" s="110"/>
      <c r="C117" s="278" t="s">
        <v>508</v>
      </c>
      <c r="D117" s="278"/>
      <c r="E117" s="278"/>
      <c r="F117" s="424">
        <f>F99+F111</f>
        <v>132</v>
      </c>
      <c r="G117" s="117" t="s">
        <v>268</v>
      </c>
      <c r="H117" s="117"/>
      <c r="I117" s="117"/>
      <c r="J117" s="110"/>
      <c r="K117" s="110"/>
      <c r="L117" s="110"/>
      <c r="M117" s="110"/>
    </row>
    <row r="118" spans="1:15" ht="12.75" customHeight="1" thickBot="1" x14ac:dyDescent="0.25">
      <c r="A118" s="110"/>
      <c r="B118" s="110"/>
      <c r="C118" s="278" t="s">
        <v>509</v>
      </c>
      <c r="D118" s="278"/>
      <c r="E118" s="278"/>
      <c r="F118" s="389">
        <f>F111+J99</f>
        <v>132</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132</v>
      </c>
      <c r="G129" s="124" t="s">
        <v>268</v>
      </c>
      <c r="H129" s="122"/>
      <c r="I129" s="122"/>
      <c r="J129" s="120"/>
      <c r="K129" s="120"/>
      <c r="L129" s="110"/>
      <c r="M129" s="110"/>
    </row>
    <row r="130" spans="1:15" x14ac:dyDescent="0.2">
      <c r="A130" s="110"/>
      <c r="B130" s="124" t="s">
        <v>563</v>
      </c>
      <c r="C130" s="110"/>
      <c r="D130" s="124"/>
      <c r="E130" s="124"/>
      <c r="F130" s="424">
        <f>VLOOKUP(F40, 'Data Tables'!A4:D78, 4, FALSE)*F44</f>
        <v>118.935</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13.064999999999998</v>
      </c>
      <c r="G132" s="119" t="s">
        <v>268</v>
      </c>
      <c r="H132" s="129"/>
      <c r="I132" s="110"/>
      <c r="J132" s="110"/>
      <c r="K132" s="110"/>
      <c r="L132" s="110"/>
      <c r="M132" s="110"/>
    </row>
    <row r="133" spans="1:15" ht="12.75" customHeight="1" x14ac:dyDescent="0.2">
      <c r="A133" s="110"/>
      <c r="B133" s="278" t="s">
        <v>865</v>
      </c>
      <c r="C133" s="117"/>
      <c r="D133" s="117"/>
      <c r="E133" s="110"/>
      <c r="F133" s="248">
        <f>F132*F48</f>
        <v>5.879249999999999</v>
      </c>
      <c r="G133" s="119" t="s">
        <v>268</v>
      </c>
      <c r="H133" s="129"/>
      <c r="I133" s="110"/>
      <c r="J133" s="110"/>
      <c r="K133" s="110"/>
      <c r="L133" s="110"/>
      <c r="M133" s="110"/>
    </row>
    <row r="134" spans="1:15" ht="12.75" customHeight="1" x14ac:dyDescent="0.2">
      <c r="A134" s="110"/>
      <c r="B134" s="117" t="s">
        <v>624</v>
      </c>
      <c r="C134" s="117"/>
      <c r="D134" s="117"/>
      <c r="E134" s="110"/>
      <c r="F134" s="248">
        <f>F133-(F133*(1-K45)*(1-L45))</f>
        <v>2.2198536523199239</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97.705882483058005</v>
      </c>
      <c r="G136" s="119" t="s">
        <v>298</v>
      </c>
      <c r="H136" s="129"/>
      <c r="I136" s="110"/>
      <c r="J136" s="110"/>
      <c r="K136" s="110"/>
      <c r="L136" s="110"/>
      <c r="M136" s="110"/>
    </row>
    <row r="137" spans="1:15" ht="12.75" customHeight="1" x14ac:dyDescent="0.2">
      <c r="A137" s="110"/>
      <c r="B137" s="131" t="s">
        <v>569</v>
      </c>
      <c r="C137" s="119"/>
      <c r="D137" s="110"/>
      <c r="E137" s="110"/>
      <c r="F137" s="403">
        <f>IF(F43=0, "0", F136/F43)</f>
        <v>3.659396347680075</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Cereal Cover Crop</v>
      </c>
      <c r="F144" s="532"/>
      <c r="G144" s="520" t="str">
        <f>IF(OR(E144=$E$245, E144=$E$246), CONCATENATE(E144, $F$151), IF(E144="Continuous No-Till*", CONCATENATE(E144, $F$49), IF(OR(E144=$E$249, E144=$E$250, E144=$E$251, E144=$E$252), CONCATENATE(E144, $F$45), E144)))</f>
        <v>Cereal Cover CropLate-Planting - Up to 7 days after published first frost date</v>
      </c>
      <c r="H144" s="501"/>
      <c r="I144" s="501"/>
      <c r="J144" s="521"/>
      <c r="K144" s="103" t="str">
        <f>IF(OR(E144=$E$249, E144=$E$250, E144=$E$251, E144=$E$252), CONCATENATE($F$46,VLOOKUP(G144, 'BMPs and Bay Model Data'!$D$148:$E$166, 2, FALSE)), 'Calculations- All Data'!G144)</f>
        <v>Cereal Cover CropLate-Planting - Up to 7 days after published first frost date</v>
      </c>
      <c r="L144" s="272">
        <f>IF(OR(E144=$E$249, E144=$E$250, E144=$E$251, E144=$E$252), VLOOKUP(K144, 'BMPs and Bay Model Data'!$A$170:$B$351, 2, FALSE), VLOOKUP(K144, 'BMPs and Bay Model Data'!$C$36:$D$57, 2, FALSE))</f>
        <v>0.3</v>
      </c>
      <c r="M144" s="110"/>
    </row>
    <row r="145" spans="1:13" ht="12.75" customHeight="1" x14ac:dyDescent="0.2">
      <c r="A145" s="110"/>
      <c r="B145" s="110"/>
      <c r="C145" s="110"/>
      <c r="D145" s="110"/>
      <c r="E145" s="530">
        <f>'CREDIT CALCULATION FORM'!F149</f>
        <v>0</v>
      </c>
      <c r="F145" s="531"/>
      <c r="G145" s="520">
        <f>IF(OR(E145=$E$245, E145=$E$246), CONCATENATE(E145, $F$151), IF(E145="Continuous No-Till*", CONCATENATE(E145, $F$49), IF(OR(E145=$E$249, E145=$E$250, E145=$E$251, E145=$E$252), CONCATENATE(E145, $F$45), E145)))</f>
        <v>0</v>
      </c>
      <c r="H145" s="501"/>
      <c r="I145" s="501"/>
      <c r="J145" s="521"/>
      <c r="K145" s="103">
        <f>IF(OR(E145=$E$249, E145=$E$250, E145=$E$251, E145=$E$252), CONCATENATE($F$46,VLOOKUP(G145, 'BMPs and Bay Model Data'!$D$148:$E$166, 2, FALSE)), 'Calculations- All Data'!G145)</f>
        <v>0</v>
      </c>
      <c r="L145" s="272">
        <f>IF(OR(E145=$E$249, E145=$E$250, E145=$E$251, E145=$E$252), VLOOKUP(K145, 'BMPs and Bay Model Data'!$A$170:$B$351, 2, FALSE), VLOOKUP(K145, 'BMPs and Bay Model Data'!$C$36:$D$57, 2, FALSE))</f>
        <v>0</v>
      </c>
      <c r="M145" s="110"/>
    </row>
    <row r="146" spans="1:13" ht="12.75" customHeight="1" x14ac:dyDescent="0.2">
      <c r="A146" s="110"/>
      <c r="B146" s="110"/>
      <c r="C146" s="110"/>
      <c r="D146" s="110"/>
      <c r="E146" s="530">
        <f>'CREDIT CALCULATION FORM'!F150</f>
        <v>0</v>
      </c>
      <c r="F146" s="531"/>
      <c r="G146" s="520">
        <f>IF(OR(E146=$E$245, E146=$E$246), CONCATENATE(E146, $F$151), IF(E146="Continuous No-Till*", CONCATENATE(E146, $F$49), IF(OR(E146=$E$249, E146=$E$250, E146=$E$251, E146=$E$252), CONCATENATE(E146, $F$45), E146)))</f>
        <v>0</v>
      </c>
      <c r="H146" s="501"/>
      <c r="I146" s="501"/>
      <c r="J146" s="521"/>
      <c r="K146" s="103">
        <f>IF(OR(E146=$E$249, E146=$E$250, E146=$E$251, E146=$E$252), CONCATENATE($F$46,VLOOKUP(G146, 'BMPs and Bay Model Data'!$D$148:$E$166, 2, FALSE)), 'Calculations- All Data'!G146)</f>
        <v>0</v>
      </c>
      <c r="L146" s="272">
        <f>IF(OR(E146=$E$249, E146=$E$250, E146=$E$251, E146=$E$252), VLOOKUP(K146, 'BMPs and Bay Model Data'!$A$170:$B$351, 2, FALSE), VLOOKUP(K146, 'BMPs and Bay Model Data'!$C$36:$D$57, 2, FALSE))</f>
        <v>0</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26.7</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Late-Planting - Up to 7 days after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29.311764744917401</v>
      </c>
      <c r="G153" s="120" t="s">
        <v>298</v>
      </c>
      <c r="H153" s="122"/>
      <c r="I153" s="211"/>
      <c r="J153" s="254"/>
      <c r="K153" s="254"/>
      <c r="L153" s="120"/>
      <c r="M153" s="120"/>
    </row>
    <row r="154" spans="1:13" x14ac:dyDescent="0.2">
      <c r="A154" s="110"/>
      <c r="B154" s="110"/>
      <c r="C154" s="110"/>
      <c r="D154" s="141" t="s">
        <v>548</v>
      </c>
      <c r="E154" s="212"/>
      <c r="F154" s="281">
        <f>IF(F43=0, "0", (F136-F153)/F43)</f>
        <v>2.561577443376053</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29.311764744917401</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29.311764744917401</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27.582370624967272</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27.582370624967272</v>
      </c>
      <c r="G180" s="110" t="s">
        <v>585</v>
      </c>
      <c r="H180" s="110"/>
      <c r="I180" s="110"/>
      <c r="J180" s="110"/>
      <c r="K180" s="110"/>
      <c r="L180" s="110"/>
      <c r="M180" s="110"/>
    </row>
    <row r="181" spans="1:13" ht="13.5" thickBot="1" x14ac:dyDescent="0.25">
      <c r="A181" s="110"/>
      <c r="B181" s="116" t="s">
        <v>561</v>
      </c>
      <c r="C181" s="415"/>
      <c r="D181" s="415"/>
      <c r="E181" s="415"/>
      <c r="F181" s="416">
        <f>ROUND(F180, 0)</f>
        <v>28</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25.2</v>
      </c>
      <c r="G184" s="420" t="s">
        <v>585</v>
      </c>
      <c r="H184" s="110"/>
      <c r="I184" s="110"/>
      <c r="J184" s="110"/>
      <c r="K184" s="110"/>
      <c r="L184" s="110"/>
      <c r="M184" s="110"/>
    </row>
    <row r="185" spans="1:13" ht="15.75" thickBot="1" x14ac:dyDescent="0.3">
      <c r="A185" s="110"/>
      <c r="B185" s="112" t="s">
        <v>559</v>
      </c>
      <c r="C185" s="421"/>
      <c r="D185" s="421"/>
      <c r="E185" s="421"/>
      <c r="F185" s="414">
        <f>ROUND(F184, 0)</f>
        <v>25</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2021-07-15T13:31:42Z</dcterms:modified>
</cp:coreProperties>
</file>