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<sst xmlns="http://schemas.openxmlformats.org/spreadsheetml/2006/main" count="1889" uniqueCount="880">
  <si>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</si>
  <si>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</si>
  <si>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</si>
  <si>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</si>
  <si>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</si>
  <si>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</si>
  <si>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</si>
  <si>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</si>
  <si>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</si>
  <si>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</si>
  <si>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</si>
  <si>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</si>
  <si>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</si>
  <si>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</si>
  <si>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</si>
  <si>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</si>
  <si>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</si>
  <si>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</si>
  <si>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</si>
  <si>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</si>
  <si>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</si>
  <si>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</si>
  <si>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</si>
  <si>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</si>
  <si>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</si>
  <si>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</si>
  <si>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</si>
  <si>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</si>
  <si>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</si>
  <si>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</si>
  <si>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</si>
  <si>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</si>
  <si>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</si>
  <si>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</si>
  <si>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</si>
  <si>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</si>
  <si>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</si>
  <si>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</si>
  <si>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</si>
  <si>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</si>
  <si>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</si>
  <si>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</si>
  <si>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</si>
  <si>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</si>
  <si>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</si>
  <si>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</si>
  <si>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</si>
  <si>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</si>
  <si>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</si>
  <si>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</si>
  <si>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</si>
  <si>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</si>
  <si>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</si>
  <si>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</si>
  <si>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</si>
  <si>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</si>
  <si>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</si>
  <si>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</si>
  <si>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</si>
  <si>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</si>
  <si>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</si>
  <si>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</si>
  <si>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</si>
  <si>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</si>
  <si>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</si>
  <si>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</si>
  <si>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</si>
  <si>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</si>
  <si>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</si>
  <si>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</si>
  <si>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</si>
  <si>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</si>
  <si>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</si>
  <si>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</si>
  <si>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</si>
  <si>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</si>
  <si>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</si>
  <si>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</si>
  <si>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</si>
  <si>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</si>
  <si>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</si>
  <si>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</si>
  <si>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</si>
  <si>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</si>
  <si>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</si>
  <si>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</si>
  <si>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</si>
  <si>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</si>
  <si>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</si>
  <si>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</si>
  <si>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</si>
  <si>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</si>
  <si>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</si>
  <si>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</si>
  <si>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</si>
  <si>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</si>
  <si>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</si>
  <si>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</si>
  <si>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</si>
  <si>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</si>
  <si>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</si>
  <si>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</si>
  <si>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</si>
  <si>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</si>
  <si>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</si>
  <si>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</si>
  <si>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</si>
  <si>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</si>
  <si>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</si>
  <si>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</si>
  <si>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</si>
  <si>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</si>
  <si>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</si>
  <si>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</si>
  <si>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</si>
  <si>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</si>
  <si>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</si>
  <si>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</si>
  <si>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</si>
  <si>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</si>
  <si>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</si>
  <si>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</si>
  <si>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</si>
  <si>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</si>
  <si>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</si>
  <si>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</si>
  <si>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</si>
  <si>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</si>
  <si>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</si>
  <si>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</si>
  <si>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</si>
  <si>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</si>
  <si>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</si>
  <si>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</si>
  <si>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</si>
  <si>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</si>
  <si>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</si>
  <si>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</si>
  <si>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</si>
  <si>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</si>
  <si>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</si>
  <si>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</si>
  <si>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</si>
  <si>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</si>
  <si>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</si>
  <si>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</si>
  <si>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</si>
  <si>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</si>
  <si>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</si>
  <si>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</si>
  <si>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</si>
  <si>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</si>
  <si>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</si>
  <si>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</si>
  <si>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</si>
  <si>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</si>
  <si>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</si>
  <si>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</si>
  <si>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</si>
  <si>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</si>
  <si>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</si>
  <si>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</si>
  <si>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</si>
  <si>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</si>
  <si>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</si>
  <si>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</si>
  <si>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</si>
  <si>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</si>
  <si>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</si>
  <si>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</si>
  <si>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</si>
  <si>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</si>
  <si>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</si>
  <si>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</si>
  <si>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</si>
  <si>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</si>
  <si>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</si>
  <si>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</si>
  <si>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</si>
  <si>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</si>
  <si>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</si>
  <si>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</si>
  <si>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</si>
  <si>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</si>
  <si>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</si>
  <si>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</si>
  <si>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</si>
  <si>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</si>
  <si>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</si>
  <si>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</si>
  <si>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</si>
  <si>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</si>
  <si>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</si>
  <si>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</si>
  <si>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</si>
  <si>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</si>
  <si>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</si>
  <si>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</si>
  <si>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</si>
  <si>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</si>
  <si>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</si>
  <si>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</si>
  <si>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</si>
  <si>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</si>
  <si>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</si>
  <si>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</si>
  <si>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</si>
  <si>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</si>
  <si>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</si>
  <si>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</si>
  <si>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</si>
  <si>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</si>
  <si>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</si>
  <si>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</si>
  <si>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</si>
  <si>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</si>
  <si>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</si>
  <si>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</si>
  <si>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</si>
  <si>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</si>
  <si>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</si>
  <si>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</si>
  <si>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</si>
  <si>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</si>
  <si>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</si>
  <si>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</si>
  <si>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</si>
  <si>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</si>
  <si>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</si>
  <si>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</si>
  <si>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</si>
  <si>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</si>
  <si>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</si>
  <si>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</si>
  <si>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</si>
  <si>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</si>
  <si>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</si>
  <si>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</si>
  <si>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</si>
  <si>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</si>
  <si>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</si>
  <si>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</si>
  <si>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</si>
  <si>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</si>
  <si>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</si>
  <si>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</si>
  <si>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</si>
  <si>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</si>
  <si>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</si>
  <si>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</si>
  <si>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</si>
  <si>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</si>
  <si>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</si>
  <si>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</si>
  <si>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</si>
  <si>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</si>
  <si>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</si>
  <si>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</si>
  <si>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</si>
  <si>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</si>
  <si>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</si>
  <si>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</si>
  <si>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</si>
  <si>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</si>
  <si>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</si>
  <si>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</si>
  <si>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</si>
  <si>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</si>
  <si>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</si>
  <si>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</si>
  <si>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</si>
  <si>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</si>
  <si>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</si>
  <si>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</si>
  <si>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</si>
  <si>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</si>
  <si>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</si>
  <si>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</si>
  <si>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</si>
  <si>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</si>
  <si>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</si>
  <si>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</si>
  <si>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</si>
  <si>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</si>
  <si>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</si>
  <si>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</si>
  <si>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</si>
  <si>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</si>
  <si>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</si>
  <si>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</si>
  <si>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</si>
  <si>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</si>
  <si>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</si>
  <si>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</si>
  <si>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</si>
  <si>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</si>
  <si>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</si>
  <si>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</si>
  <si>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</si>
  <si>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</si>
  <si>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</si>
  <si>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</si>
  <si>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</si>
  <si>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</si>
  <si>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</si>
  <si>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</si>
  <si>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</si>
  <si>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</si>
  <si>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</si>
  <si>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</si>
  <si>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</si>
  <si>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</si>
  <si>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</si>
  <si>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</si>
  <si>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</si>
  <si>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</si>
  <si>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</si>
  <si>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</si>
  <si>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</si>
  <si>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</si>
  <si>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</si>
  <si>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</si>
  <si>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</si>
  <si>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</si>
  <si>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</si>
  <si>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</si>
  <si>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</si>
  <si>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</si>
  <si>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</si>
  <si>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</si>
  <si>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</si>
  <si>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</si>
  <si>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</si>
  <si>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</si>
  <si>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</si>
  <si>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</si>
  <si>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</si>
  <si>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</si>
  <si>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</si>
  <si>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</si>
  <si>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</si>
  <si>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</si>
  <si>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</si>
  <si>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</si>
  <si>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</si>
  <si>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</si>
  <si>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</si>
  <si>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</si>
  <si>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</si>
  <si>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</si>
  <si>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</si>
  <si>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</si>
  <si>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</si>
  <si>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</si>
  <si>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</si>
  <si>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</si>
  <si>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</si>
  <si>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</si>
  <si>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</si>
  <si>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</si>
  <si>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</si>
  <si>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</si>
  <si>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</si>
  <si>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</si>
  <si>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</si>
  <si>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</si>
  <si>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</si>
  <si>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</si>
  <si>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</si>
  <si>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</si>
  <si>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</si>
  <si>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</si>
  <si>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</si>
  <si>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</si>
  <si>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</si>
  <si>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</si>
  <si>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</si>
  <si>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</si>
  <si>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</si>
  <si>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</si>
  <si>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</si>
  <si>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</si>
  <si>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</si>
  <si>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</si>
  <si>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</si>
  <si>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</si>
  <si>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</si>
  <si>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</si>
  <si>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</si>
  <si>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</si>
  <si>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</si>
  <si>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</si>
  <si>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</si>
  <si>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</si>
  <si>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</si>
  <si>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</si>
  <si>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</si>
  <si>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</si>
  <si>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</si>
  <si>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</si>
  <si>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</si>
  <si>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</si>
  <si>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</si>
  <si>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</si>
  <si>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</si>
  <si>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</si>
  <si>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</si>
  <si>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</si>
  <si>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</si>
  <si>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</si>
  <si>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</si>
  <si>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</si>
  <si>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</si>
  <si>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</si>
  <si>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</si>
  <si>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</si>
  <si>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</si>
  <si>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</si>
  <si>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</si>
  <si>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</si>
  <si>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</si>
  <si>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</si>
  <si>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</si>
  <si>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</si>
  <si>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</si>
  <si>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</si>
  <si>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</si>
  <si>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</si>
  <si>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</si>
  <si>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</si>
  <si>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</si>
  <si>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</si>
  <si>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</si>
  <si>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</si>
  <si>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</si>
  <si>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</si>
  <si>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</si>
  <si>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</si>
  <si>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</si>
  <si>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</si>
  <si>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</si>
  <si>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</si>
  <si>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</si>
  <si>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</si>
  <si>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</si>
  <si>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</si>
  <si>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</si>
  <si>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</si>
  <si>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</si>
  <si>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</si>
  <si>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</si>
  <si>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</si>
  <si>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</si>
  <si>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</si>
  <si>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</si>
  <si>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</si>
  <si>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</si>
  <si>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</si>
  <si>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</si>
  <si>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</si>
  <si>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</si>
  <si>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</si>
  <si>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</si>
  <si>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</si>
  <si>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</si>
  <si>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</si>
  <si>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</si>
  <si>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</si>
  <si>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</si>
  <si>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</si>
  <si>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</si>
  <si>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</si>
  <si>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</si>
  <si>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</si>
  <si>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</si>
  <si>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</si>
  <si>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</si>
  <si>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</si>
  <si>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</si>
  <si>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</si>
  <si>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</si>
  <si>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</si>
  <si>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</si>
  <si>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</si>
  <si>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</si>
  <si>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</si>
  <si>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</si>
  <si>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</si>
  <si>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</si>
  <si>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</si>
  <si>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</si>
  <si>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</si>
  <si>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</si>
  <si>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</si>
  <si>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</si>
  <si>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</si>
  <si>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</si>
  <si>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</si>
  <si>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</si>
  <si>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</si>
  <si>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</si>
  <si>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</si>
  <si>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</si>
  <si>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</si>
  <si>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</si>
  <si>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</si>
  <si>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</si>
  <si>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</si>
  <si>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</si>
  <si>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</si>
  <si>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</si>
  <si>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</si>
  <si>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</si>
  <si>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</si>
  <si>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</si>
  <si>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</si>
  <si>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</si>
  <si>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</si>
  <si>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</si>
  <si>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</si>
  <si>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</si>
  <si>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</si>
  <si>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</si>
  <si>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</si>
  <si>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</si>
  <si>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</si>
  <si>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</si>
  <si>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</si>
  <si>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</si>
  <si>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</si>
  <si>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</si>
  <si>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</si>
  <si>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</si>
  <si>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</si>
  <si>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</si>
  <si>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</si>
  <si>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</si>
  <si>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</si>
  <si>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</si>
  <si>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</si>
  <si>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</si>
  <si>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</si>
  <si>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</si>
  <si>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</si>
  <si>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</si>
  <si>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</si>
  <si>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</si>
  <si>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</si>
  <si>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</si>
  <si>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</si>
  <si>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</si>
  <si>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</si>
  <si>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</si>
  <si>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</si>
  <si>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</si>
  <si>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</si>
  <si>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</si>
  <si>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</si>
  <si>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</si>
  <si>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</si>
  <si>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</si>
  <si>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</si>
  <si>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</si>
  <si>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</si>
  <si>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</si>
  <si>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</si>
  <si>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</si>
  <si>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</si>
  <si>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</si>
  <si>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</si>
  <si>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</si>
  <si>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</si>
  <si>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</si>
  <si>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</si>
  <si>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</si>
  <si>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</si>
  <si>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</si>
  <si>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</si>
  <si>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</si>
  <si>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</si>
  <si>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</si>
  <si>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</si>
  <si>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</si>
  <si>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</si>
  <si>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</si>
  <si>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</si>
  <si>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</si>
  <si>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</si>
  <si>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</si>
  <si>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</si>
  <si>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</si>
  <si>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</si>
  <si>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</si>
  <si>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</si>
  <si>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</si>
  <si>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</si>
  <si>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</si>
  <si>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</si>
  <si>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</si>
  <si>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</si>
  <si>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</si>
  <si>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</si>
  <si>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</si>
  <si>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</si>
  <si>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</si>
  <si>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</si>
  <si>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</si>
  <si>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</si>
  <si>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</si>
  <si>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</si>
  <si>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</si>
  <si>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</si>
  <si>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</si>
  <si>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</si>
  <si>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</si>
  <si>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</si>
  <si>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</si>
  <si>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</si>
  <si>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</si>
  <si>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</si>
  <si>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</si>
  <si>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</si>
  <si>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</si>
  <si>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</si>
  <si>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</si>
  <si>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</si>
  <si>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</si>
  <si>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</si>
  <si>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</si>
  <si>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</si>
  <si>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</si>
  <si>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</si>
  <si>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</si>
  <si>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</si>
  <si>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</si>
  <si>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</si>
  <si>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</si>
  <si>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</si>
  <si>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</si>
  <si>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</si>
  <si>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</si>
  <si>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</si>
  <si>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</si>
  <si>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</si>
  <si>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</si>
  <si>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</si>
  <si>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</si>
  <si>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</si>
  <si>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</si>
  <si>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</si>
  <si>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</si>
  <si>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</si>
  <si>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</si>
  <si>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</si>
  <si>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</si>
  <si>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</si>
  <si>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</si>
  <si>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</si>
  <si>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</si>
  <si>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</si>
  <si>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</si>
  <si>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</si>
  <si>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</si>
  <si>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</si>
  <si>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</si>
  <si>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</si>
  <si>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</si>
  <si>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</si>
  <si>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</si>
  <si>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</si>
  <si>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</si>
  <si>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</si>
  <si>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</si>
  <si>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</si>
  <si>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</si>
  <si>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</si>
  <si>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</si>
  <si>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</si>
  <si>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</si>
  <si>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</si>
  <si>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</si>
  <si>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</si>
  <si>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</si>
  <si>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</si>
  <si>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</si>
  <si>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</si>
  <si>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</si>
  <si>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</si>
  <si>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</si>
  <si>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</si>
  <si>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</si>
  <si>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</si>
  <si>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</si>
  <si>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</si>
  <si>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</si>
  <si>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</si>
  <si>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</si>
  <si>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</si>
  <si>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</si>
  <si>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</si>
  <si>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</si>
  <si>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</si>
  <si>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</si>
  <si>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</si>
  <si>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</si>
  <si>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</si>
  <si>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</si>
  <si>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</si>
  <si>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</si>
  <si>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</si>
  <si>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</si>
  <si>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</si>
  <si>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</si>
  <si>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</si>
  <si>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</si>
  <si>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</si>
  <si>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</si>
  <si>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</si>
  <si>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</si>
  <si>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</si>
  <si>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</si>
  <si>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</si>
  <si>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</si>
  <si>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</si>
  <si>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</si>
  <si>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</si>
  <si>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</si>
  <si>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</si>
  <si>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</si>
  <si>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</si>
  <si>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</si>
  <si>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</si>
  <si>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</si>
  <si>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</si>
  <si>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</si>
  <si>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</si>
  <si>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</si>
  <si>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</si>
  <si>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</si>
  <si>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</si>
  <si>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</si>
  <si>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</si>
  <si>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</si>
  <si>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</si>
  <si>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</si>
  <si>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</si>
  <si>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</si>
  <si>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</si>
  <si>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</si>
  <si>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</si>
  <si>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</si>
  <si>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</si>
  <si>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</si>
  <si>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</si>
  <si>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</si>
  <si>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</si>
  <si>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</si>
  <si>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</si>
  <si>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</si>
  <si>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</si>
  <si>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</si>
  <si>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</si>
  <si>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</si>
  <si>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</si>
  <si>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</si>
  <si>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</si>
  <si>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</si>
  <si>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</si>
  <si>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</si>
  <si>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</si>
  <si>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</si>
  <si>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</si>
  <si>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</si>
  <si>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</si>
  <si>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</si>
  <si>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</si>
  <si>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</si>
  <si>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</si>
  <si>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</si>
  <si>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</si>
  <si>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</si>
  <si>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</si>
  <si>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</si>
  <si>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</si>
  <si>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</si>
  <si>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</si>
  <si>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</si>
  <si>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</si>
  <si>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</si>
  <si>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</si>
  <si>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</si>
  <si>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</si>
  <si>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</si>
  <si>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</si>
  <si>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</si>
  <si>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</si>
  <si>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</si>
  <si>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</si>
  <si>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</si>
  <si>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</si>
  <si>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</si>
  <si>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</si>
  <si>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</si>
  <si>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</si>
  <si>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</si>
  <si>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</si>
  <si>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</si>
  <si>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</si>
  <si>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</si>
  <si>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</si>
  <si>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</si>
  <si>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</si>
  <si>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</si>
  <si>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</si>
  <si>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</si>
  <si>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</si>
  <si>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</si>
  <si>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</si>
  <si>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</si>
  <si>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</si>
  <si>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</si>
  <si>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</si>
  <si>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</si>
  <si>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</si>
  <si>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</si>
  <si>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</si>
  <si>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</si>
  <si>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</si>
  <si>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</si>
  <si>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</si>
  <si>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</si>
  <si>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</si>
  <si>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</si>
  <si>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</si>
  <si>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</si>
  <si>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</si>
  <si>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</si>
  <si>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</si>
  <si>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</si>
  <si>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</si>
  <si>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</si>
  <si>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</si>
  <si>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</si>
  <si>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</si>
  <si>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</si>
  <si>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</si>
  <si>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</si>
  <si>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</si>
  <si>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</si>
  <si>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</si>
  <si>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</si>
  <si>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</si>
  <si>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</si>
  <si>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</si>
  <si>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</si>
  <si>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</si>
  <si>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</si>
  <si>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</si>
  <si>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</si>
  <si>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</si>
  <si>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</si>
  <si>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</si>
  <si>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</si>
  <si>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</si>
  <si>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</si>
  <si>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</si>
  <si>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</si>
  <si>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</si>
  <si>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</si>
  <si>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</si>
  <si>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</si>
  <si>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</si>
  <si>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</si>
  <si>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</si>
  <si>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</si>
  <si>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</si>
  <si>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</si>
  <si>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</si>
  <si>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</si>
  <si>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 xml:space="preserve">Schrack T 335 F 1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</si>
</sst>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4">
      <selection activeCell="J9" sqref="J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43483</v>
      </c>
      <c r="G6" s="457"/>
      <c r="H6" s="457"/>
      <c r="I6" s="458"/>
      <c r="J6" s="316"/>
      <c r="K6" s="316"/>
      <c r="L6" s="316"/>
      <c r="M6" s="316"/>
    </row>
    <row r="7" spans="1:13" ht="12.75" customHeight="1">
      <c r="A7" s="316"/>
      <c r="B7" s="316"/>
      <c r="C7" s="316"/>
      <c r="D7" s="316" t="s">
        <v>578</v>
      </c>
      <c r="E7" s="316"/>
      <c r="F7" s="467" t="s">
        <v>879</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27</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4.6</v>
      </c>
      <c r="H39" s="42"/>
      <c r="I39" s="42"/>
      <c r="J39" s="42"/>
      <c r="K39" s="46"/>
      <c r="L39" s="46"/>
      <c r="M39" s="26"/>
    </row>
    <row r="40" spans="1:13" ht="12.75">
      <c r="A40" s="136" t="s">
        <v>376</v>
      </c>
      <c r="B40" s="453" t="s">
        <v>370</v>
      </c>
      <c r="C40" s="453"/>
      <c r="D40" s="453"/>
      <c r="E40" s="45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37" t="s">
        <v>342</v>
      </c>
      <c r="H41" s="438"/>
      <c r="I41" s="438"/>
      <c r="J41" s="438"/>
      <c r="K41" s="438"/>
      <c r="L41" s="439"/>
      <c r="M41" s="26"/>
    </row>
    <row r="42" spans="1:13" ht="12.75">
      <c r="A42" s="137" t="s">
        <v>523</v>
      </c>
      <c r="B42" s="454" t="s">
        <v>438</v>
      </c>
      <c r="C42" s="455"/>
      <c r="D42" s="455"/>
      <c r="E42" s="45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150</v>
      </c>
      <c r="G50" s="40" t="s">
        <v>268</v>
      </c>
      <c r="H50" s="40"/>
      <c r="I50" s="40"/>
      <c r="J50" s="154">
        <v>150</v>
      </c>
      <c r="K50" s="26"/>
      <c r="L50" s="26"/>
      <c r="M50" s="26"/>
    </row>
    <row r="51" spans="1:13" ht="12.75">
      <c r="A51" s="136" t="s">
        <v>375</v>
      </c>
      <c r="B51" s="27" t="s">
        <v>502</v>
      </c>
      <c r="C51" s="41"/>
      <c r="D51" s="39"/>
      <c r="E51" s="26"/>
      <c r="F51" s="396">
        <f>'Calculations- All Data'!F57</f>
        <v>150</v>
      </c>
      <c r="G51" s="42" t="s">
        <v>268</v>
      </c>
      <c r="H51" s="42"/>
      <c r="I51" s="42"/>
      <c r="J51" s="397">
        <f>'Calculations- All Data'!J57</f>
        <v>150</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c r="G54" s="438"/>
      <c r="H54" s="438"/>
      <c r="I54" s="188"/>
      <c r="J54" s="437"/>
      <c r="K54" s="443"/>
      <c r="L54" s="444"/>
      <c r="M54" s="26"/>
    </row>
    <row r="55" spans="1:13" ht="12.75">
      <c r="A55" s="136" t="s">
        <v>375</v>
      </c>
      <c r="B55" s="41" t="s">
        <v>369</v>
      </c>
      <c r="C55" s="26"/>
      <c r="D55" s="26"/>
      <c r="E55" s="26"/>
      <c r="F55" s="440"/>
      <c r="G55" s="441"/>
      <c r="H55" s="441"/>
      <c r="I55" s="187"/>
      <c r="J55" s="440"/>
      <c r="K55" s="441"/>
      <c r="L55" s="442"/>
      <c r="M55" s="26"/>
    </row>
    <row r="56" spans="1:13" ht="14.25">
      <c r="A56" s="136" t="s">
        <v>376</v>
      </c>
      <c r="B56" s="267" t="s">
        <v>870</v>
      </c>
      <c r="C56" s="26"/>
      <c r="D56" s="26"/>
      <c r="E56" s="26"/>
      <c r="F56" s="154"/>
      <c r="G56" s="41"/>
      <c r="H56" s="40"/>
      <c r="I56" s="40"/>
      <c r="J56" s="154"/>
      <c r="K56" s="26"/>
      <c r="L56" s="26"/>
      <c r="M56" s="26"/>
    </row>
    <row r="57" spans="1:13" ht="12.75">
      <c r="A57" s="136"/>
      <c r="B57" s="40"/>
      <c r="C57" s="41" t="s">
        <v>371</v>
      </c>
      <c r="D57" s="26"/>
      <c r="E57" s="26"/>
      <c r="F57" s="154"/>
      <c r="G57" s="41">
        <f>VLOOKUP(F55,'Data Tables'!$A$249:$D$270,3,FALSE)</f>
        <v>0</v>
      </c>
      <c r="H57" s="26"/>
      <c r="I57" s="40"/>
      <c r="J57" s="154"/>
      <c r="K57" s="41">
        <f>VLOOKUP(J55,'Data Tables'!$A$249:$D$270,3,FALSE)</f>
        <v>0</v>
      </c>
      <c r="L57" s="26"/>
      <c r="M57" s="26"/>
    </row>
    <row r="58" spans="1:13" ht="12.75">
      <c r="A58" s="136" t="s">
        <v>377</v>
      </c>
      <c r="B58" s="41" t="s">
        <v>15</v>
      </c>
      <c r="C58" s="26"/>
      <c r="D58" s="26"/>
      <c r="E58" s="26"/>
      <c r="F58" s="154"/>
      <c r="G58" s="41">
        <f>VLOOKUP(F55,'Data Tables'!$A$249:$E$270,5,FALSE)</f>
        <v>0</v>
      </c>
      <c r="H58" s="40"/>
      <c r="I58" s="40"/>
      <c r="J58" s="154"/>
      <c r="K58" s="41">
        <f>VLOOKUP(J55,'Data Tables'!$A$249:$E$270,5,FALSE)</f>
        <v>0</v>
      </c>
      <c r="L58" s="26"/>
      <c r="M58" s="26"/>
    </row>
    <row r="59" spans="1:13" ht="12.75">
      <c r="A59" s="136" t="s">
        <v>523</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525</v>
      </c>
      <c r="B60" s="27" t="s">
        <v>420</v>
      </c>
      <c r="C60" s="41"/>
      <c r="D60" s="26"/>
      <c r="E60" s="26"/>
      <c r="F60" s="398">
        <f>'Calculations- All Data'!F69</f>
        <v>0</v>
      </c>
      <c r="G60" s="42" t="s">
        <v>268</v>
      </c>
      <c r="H60" s="42"/>
      <c r="I60" s="156"/>
      <c r="J60" s="398">
        <f>'Calculations- All Data'!J69</f>
        <v>0</v>
      </c>
      <c r="K60" s="42" t="s">
        <v>268</v>
      </c>
      <c r="L60" s="42"/>
      <c r="M60" s="26"/>
    </row>
    <row r="61" spans="1:13" ht="12.75">
      <c r="A61" s="136" t="s">
        <v>524</v>
      </c>
      <c r="B61" s="27" t="s">
        <v>501</v>
      </c>
      <c r="C61" s="41"/>
      <c r="D61" s="39"/>
      <c r="E61" s="26"/>
      <c r="F61" s="396">
        <f>'Calculations- All Data'!F70</f>
        <v>0</v>
      </c>
      <c r="G61" s="42" t="s">
        <v>268</v>
      </c>
      <c r="H61" s="42"/>
      <c r="I61" s="42"/>
      <c r="J61" s="397">
        <f>'Calculations- All Data'!J70</f>
        <v>0</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150</v>
      </c>
      <c r="G85" s="27" t="s">
        <v>268</v>
      </c>
      <c r="H85" s="39"/>
      <c r="I85" s="385" t="s">
        <v>14</v>
      </c>
      <c r="J85" s="395">
        <f>'Calculations- All Data'!J98</f>
        <v>150</v>
      </c>
      <c r="K85" s="26" t="s">
        <v>268</v>
      </c>
      <c r="L85" s="26"/>
      <c r="M85" s="26"/>
    </row>
    <row r="86" spans="1:13" ht="13.5" thickBot="1">
      <c r="A86" s="253" t="s">
        <v>601</v>
      </c>
      <c r="B86" s="26"/>
      <c r="C86" s="26"/>
      <c r="D86" s="26"/>
      <c r="E86" s="252"/>
      <c r="F86" s="399">
        <f>'Calculations- All Data'!F99</f>
        <v>150</v>
      </c>
      <c r="G86" s="27" t="s">
        <v>268</v>
      </c>
      <c r="H86" s="39"/>
      <c r="I86" s="385" t="s">
        <v>14</v>
      </c>
      <c r="J86" s="395">
        <f>'Calculations- All Data'!J99</f>
        <v>150</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749</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178</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150</v>
      </c>
      <c r="H113" s="26" t="s">
        <v>547</v>
      </c>
      <c r="I113" s="26"/>
      <c r="J113" s="26"/>
      <c r="K113" s="26"/>
      <c r="L113" s="26"/>
      <c r="M113" s="26"/>
    </row>
    <row r="114" spans="1:13" ht="13.5" thickBot="1">
      <c r="A114" s="26"/>
      <c r="B114" s="26"/>
      <c r="C114" s="27" t="s">
        <v>509</v>
      </c>
      <c r="D114" s="26"/>
      <c r="E114" s="26"/>
      <c r="F114" s="324"/>
      <c r="G114" s="318">
        <f>'Calculations- All Data'!F118</f>
        <v>150</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150</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31.064999999999998</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17.08575</v>
      </c>
      <c r="H130" s="26" t="s">
        <v>547</v>
      </c>
      <c r="I130" s="193"/>
      <c r="J130" s="193"/>
      <c r="K130" s="193"/>
      <c r="L130" s="26"/>
      <c r="M130" s="26"/>
    </row>
    <row r="131" spans="1:13" ht="12.75" customHeight="1">
      <c r="A131" s="109"/>
      <c r="B131" s="26"/>
      <c r="C131" s="320" t="s">
        <v>1</v>
      </c>
      <c r="D131" s="40"/>
      <c r="E131" s="40"/>
      <c r="F131" s="324" t="s">
        <v>595</v>
      </c>
      <c r="G131" s="248">
        <f>'Calculations- All Data'!F134</f>
        <v>2.904798285008386</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14.180951714991615</v>
      </c>
      <c r="H133" s="26" t="s">
        <v>547</v>
      </c>
      <c r="I133" s="26"/>
      <c r="J133" s="372"/>
      <c r="K133" s="26"/>
      <c r="L133" s="26"/>
      <c r="M133" s="26"/>
    </row>
    <row r="134" spans="1:13" ht="13.5" thickBot="1">
      <c r="A134" s="109"/>
      <c r="B134" s="26"/>
      <c r="C134" s="267" t="s">
        <v>610</v>
      </c>
      <c r="D134" s="267"/>
      <c r="E134" s="267"/>
      <c r="F134" s="324" t="s">
        <v>594</v>
      </c>
      <c r="G134" s="395">
        <f>'Calculations- All Data'!F136</f>
        <v>65.23237788896142</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857</v>
      </c>
      <c r="G148" s="476"/>
      <c r="H148" s="476"/>
      <c r="I148" s="476"/>
      <c r="J148" s="476"/>
      <c r="K148" s="255"/>
      <c r="L148" s="99"/>
      <c r="M148" s="99"/>
    </row>
    <row r="149" spans="1:13" s="97" customFormat="1" ht="22.5" customHeight="1">
      <c r="A149" s="205"/>
      <c r="B149" s="99"/>
      <c r="C149" s="99"/>
      <c r="D149" s="99"/>
      <c r="E149" s="263" t="s">
        <v>425</v>
      </c>
      <c r="F149" s="474" t="s">
        <v>519</v>
      </c>
      <c r="G149" s="476"/>
      <c r="H149" s="476"/>
      <c r="I149" s="476"/>
      <c r="J149" s="476"/>
      <c r="K149" s="256"/>
      <c r="L149" s="99"/>
      <c r="M149" s="99"/>
    </row>
    <row r="150" spans="1:13" s="97" customFormat="1" ht="22.5" customHeight="1">
      <c r="A150" s="205"/>
      <c r="B150" s="99"/>
      <c r="C150" s="99"/>
      <c r="D150" s="99"/>
      <c r="E150" s="263" t="s">
        <v>425</v>
      </c>
      <c r="F150" s="474"/>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4.6</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312</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23.64673698474852</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23.64673698474852</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21.991465395816125</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22</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20</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43483</v>
      </c>
      <c r="G4" s="525"/>
      <c r="H4" s="525"/>
      <c r="I4" s="526"/>
      <c r="J4" s="317"/>
      <c r="K4" s="317"/>
      <c r="L4" s="317"/>
      <c r="M4" s="317"/>
    </row>
    <row r="5" spans="1:13" ht="12.75">
      <c r="A5" s="317"/>
      <c r="B5" s="317"/>
      <c r="C5" s="317"/>
      <c r="D5" s="317" t="s">
        <v>578</v>
      </c>
      <c r="E5" s="317"/>
      <c r="F5" s="527" t="str">
        <f>'CREDIT CALCULATION FORM'!F7:K7</f>
        <v>Schrack T 335 F 1 </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600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4.6</v>
      </c>
      <c r="G43" s="122"/>
      <c r="H43" s="122"/>
      <c r="I43" s="122"/>
      <c r="J43" s="120"/>
      <c r="K43" s="120"/>
      <c r="L43" s="110"/>
      <c r="M43" s="110"/>
    </row>
    <row r="44" spans="1:13" ht="12.75">
      <c r="A44" s="110"/>
      <c r="B44" s="496" t="s">
        <v>32</v>
      </c>
      <c r="C44" s="496"/>
      <c r="D44" s="496"/>
      <c r="E44" s="49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Conservation Till</v>
      </c>
      <c r="G45" s="505"/>
      <c r="H45" s="505"/>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v>
      </c>
      <c r="M45" s="110"/>
    </row>
    <row r="46" spans="1:13" ht="12.75">
      <c r="A46" s="123"/>
      <c r="B46" s="557" t="s">
        <v>267</v>
      </c>
      <c r="C46" s="496"/>
      <c r="D46" s="496"/>
      <c r="E46" s="496"/>
      <c r="F46" s="331">
        <f>'CREDIT CALCULATION FORM'!G42</f>
        <v>60</v>
      </c>
      <c r="G46" s="127"/>
      <c r="H46" s="120"/>
      <c r="I46" s="120"/>
      <c r="J46" s="120"/>
      <c r="K46" s="120"/>
      <c r="L46" s="110"/>
      <c r="M46" s="110"/>
    </row>
    <row r="47" spans="1:13" ht="12.75">
      <c r="A47" s="123"/>
      <c r="B47" s="125"/>
      <c r="C47" s="496" t="s">
        <v>606</v>
      </c>
      <c r="D47" s="496"/>
      <c r="E47" s="496"/>
      <c r="F47" s="103">
        <f>VLOOKUP(F46,'BMPs and Bay Model Data'!A4:D30,4,FALSE)</f>
        <v>0.93</v>
      </c>
      <c r="G47" s="120"/>
      <c r="H47" s="120"/>
      <c r="I47" s="120"/>
      <c r="J47" s="120"/>
      <c r="K47" s="120"/>
      <c r="L47" s="110"/>
      <c r="M47" s="110"/>
    </row>
    <row r="48" spans="1:13" ht="12.75">
      <c r="A48" s="123"/>
      <c r="B48" s="125"/>
      <c r="C48" s="496" t="s">
        <v>607</v>
      </c>
      <c r="D48" s="496"/>
      <c r="E48" s="496"/>
      <c r="F48" s="103">
        <f>VLOOKUP(F46,'BMPs and Bay Model Data'!A4:E30,5,FALSE)</f>
        <v>0.55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150</v>
      </c>
      <c r="G56" s="117" t="s">
        <v>268</v>
      </c>
      <c r="H56" s="117"/>
      <c r="I56" s="117"/>
      <c r="J56" s="101">
        <f>'CREDIT CALCULATION FORM'!J50</f>
        <v>150</v>
      </c>
      <c r="K56" s="117" t="s">
        <v>268</v>
      </c>
      <c r="L56" s="117"/>
      <c r="M56" s="110"/>
    </row>
    <row r="57" spans="1:13" ht="12.75">
      <c r="A57" s="110"/>
      <c r="B57" s="131" t="s">
        <v>502</v>
      </c>
      <c r="C57" s="119"/>
      <c r="D57" s="116"/>
      <c r="E57" s="110"/>
      <c r="F57" s="247">
        <f>F56</f>
        <v>150</v>
      </c>
      <c r="G57" s="119" t="s">
        <v>268</v>
      </c>
      <c r="H57" s="117"/>
      <c r="I57" s="117"/>
      <c r="J57" s="247">
        <f>J56</f>
        <v>150</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f>'CREDIT CALCULATION FORM'!F54:I54</f>
        <v>0</v>
      </c>
      <c r="G60" s="505"/>
      <c r="H60" s="505"/>
      <c r="I60" s="189"/>
      <c r="J60" s="507">
        <f>'CREDIT CALCULATION FORM'!J54:M54</f>
        <v>0</v>
      </c>
      <c r="K60" s="508"/>
      <c r="L60" s="509"/>
      <c r="M60" s="110"/>
    </row>
    <row r="61" spans="1:13" ht="12.75">
      <c r="A61" s="110"/>
      <c r="B61" s="117"/>
      <c r="C61" s="119" t="s">
        <v>115</v>
      </c>
      <c r="D61" s="110"/>
      <c r="E61" s="110"/>
      <c r="F61" s="521">
        <f>'CREDIT CALCULATION FORM'!F55:I55</f>
        <v>0</v>
      </c>
      <c r="G61" s="522"/>
      <c r="H61" s="522"/>
      <c r="I61" s="189"/>
      <c r="J61" s="521">
        <f>'CREDIT CALCULATION FORM'!J55:M55</f>
        <v>0</v>
      </c>
      <c r="K61" s="522"/>
      <c r="L61" s="523"/>
      <c r="M61" s="110"/>
    </row>
    <row r="62" spans="1:13" ht="12.75">
      <c r="A62" s="110"/>
      <c r="B62" s="117"/>
      <c r="C62" s="119" t="s">
        <v>275</v>
      </c>
      <c r="D62" s="110"/>
      <c r="E62" s="110"/>
      <c r="F62" s="101">
        <f>'CREDIT CALCULATION FORM'!F56</f>
        <v>0</v>
      </c>
      <c r="G62" s="119"/>
      <c r="H62" s="117"/>
      <c r="I62" s="117"/>
      <c r="J62" s="101">
        <f>'CREDIT CALCULATION FORM'!J56</f>
        <v>0</v>
      </c>
      <c r="K62" s="119"/>
      <c r="L62" s="117"/>
      <c r="M62" s="110"/>
    </row>
    <row r="63" spans="1:13" ht="12.75">
      <c r="A63" s="110"/>
      <c r="B63" s="117"/>
      <c r="C63" s="119" t="s">
        <v>273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276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16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7">
        <f>'CREDIT CALCULATION FORM'!F59:I59</f>
        <v>0</v>
      </c>
      <c r="G66" s="505"/>
      <c r="H66" s="505"/>
      <c r="I66" s="189"/>
      <c r="J66" s="507">
        <f>'CREDIT CALCULATION FORM'!J59:M59</f>
        <v>0</v>
      </c>
      <c r="K66" s="505"/>
      <c r="L66" s="506"/>
      <c r="M66" s="110"/>
    </row>
    <row r="67" spans="1:13" ht="12.75">
      <c r="A67" s="110"/>
      <c r="B67" s="117"/>
      <c r="C67" s="119"/>
      <c r="D67" s="110" t="s">
        <v>291</v>
      </c>
      <c r="E67" s="110"/>
      <c r="F67" s="504" t="str">
        <f>CONCATENATE(F60,F66)</f>
        <v>00</v>
      </c>
      <c r="G67" s="505"/>
      <c r="H67" s="505"/>
      <c r="I67" s="189"/>
      <c r="J67" s="504" t="str">
        <f>CONCATENATE(J60,J66)</f>
        <v>00</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503</v>
      </c>
      <c r="C69" s="119"/>
      <c r="D69" s="110"/>
      <c r="E69" s="110"/>
      <c r="F69" s="247">
        <f>IF(F62="Yes",F65*F63,F65*F64)</f>
        <v>0</v>
      </c>
      <c r="G69" s="117" t="s">
        <v>268</v>
      </c>
      <c r="H69" s="117"/>
      <c r="I69" s="117"/>
      <c r="J69" s="247">
        <f>IF(J62="Yes",J65*J63,J65*J64)</f>
        <v>0</v>
      </c>
      <c r="K69" s="117" t="s">
        <v>268</v>
      </c>
      <c r="L69" s="117"/>
      <c r="M69" s="110"/>
    </row>
    <row r="70" spans="1:13" ht="12.75">
      <c r="A70" s="110"/>
      <c r="B70" s="131" t="s">
        <v>501</v>
      </c>
      <c r="C70" s="119"/>
      <c r="D70" s="116"/>
      <c r="E70" s="110"/>
      <c r="F70" s="247">
        <f>F68*F69</f>
        <v>0</v>
      </c>
      <c r="G70" s="119" t="s">
        <v>268</v>
      </c>
      <c r="H70" s="117"/>
      <c r="I70" s="117"/>
      <c r="J70" s="247">
        <f>J68*J69</f>
        <v>0</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150</v>
      </c>
      <c r="G98" s="119" t="s">
        <v>268</v>
      </c>
      <c r="H98" s="191" t="s">
        <v>14</v>
      </c>
      <c r="I98" s="117"/>
      <c r="J98" s="402">
        <f>IF(SUM(J57,J69,J82,J95)=0,F98,SUM(J57,J82,J69,J95))</f>
        <v>150</v>
      </c>
      <c r="K98" s="110" t="s">
        <v>268</v>
      </c>
      <c r="L98" s="110"/>
      <c r="M98" s="110"/>
    </row>
    <row r="99" spans="1:13" ht="13.5" thickBot="1">
      <c r="A99" s="110"/>
      <c r="B99" s="116" t="s">
        <v>511</v>
      </c>
      <c r="C99" s="119"/>
      <c r="D99" s="110"/>
      <c r="E99" s="110"/>
      <c r="F99" s="402">
        <f>SUM(F96,F83,F70,F57)</f>
        <v>150</v>
      </c>
      <c r="G99" s="119" t="s">
        <v>268</v>
      </c>
      <c r="H99" s="191" t="s">
        <v>14</v>
      </c>
      <c r="I99" s="191"/>
      <c r="J99" s="402">
        <f>IF(SUM(J96,J83,J70,J57)=0,F99,SUM(J96,J83,J70,J57))</f>
        <v>150</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Rarely received manure in past (&lt;2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Philo </v>
      </c>
      <c r="G106" s="505"/>
      <c r="H106" s="505"/>
      <c r="I106" s="506"/>
      <c r="J106" s="110"/>
      <c r="K106" s="110"/>
      <c r="L106" s="110"/>
      <c r="M106" s="110"/>
    </row>
    <row r="107" spans="1:13" ht="12.75">
      <c r="A107" s="110"/>
      <c r="B107" s="117"/>
      <c r="C107" s="110" t="s">
        <v>448</v>
      </c>
      <c r="D107" s="110"/>
      <c r="E107" s="110"/>
      <c r="F107" s="218">
        <f>VLOOKUP(F106,'Data Tables'!A133:B245,2,FALSE)</f>
        <v>2</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NONE2</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150</v>
      </c>
      <c r="G117" s="117" t="s">
        <v>268</v>
      </c>
      <c r="H117" s="117"/>
      <c r="I117" s="117"/>
      <c r="J117" s="110"/>
      <c r="K117" s="110"/>
      <c r="L117" s="110"/>
      <c r="M117" s="110"/>
    </row>
    <row r="118" spans="1:15" ht="12.75" customHeight="1" thickBot="1">
      <c r="A118" s="110"/>
      <c r="B118" s="110"/>
      <c r="C118" s="278" t="s">
        <v>509</v>
      </c>
      <c r="D118" s="278"/>
      <c r="E118" s="278"/>
      <c r="F118" s="389">
        <f>F111+J99</f>
        <v>150</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150</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31.064999999999998</v>
      </c>
      <c r="G132" s="119" t="s">
        <v>268</v>
      </c>
      <c r="H132" s="129"/>
      <c r="I132" s="110"/>
      <c r="J132" s="110"/>
      <c r="K132" s="110"/>
      <c r="L132" s="110"/>
      <c r="M132" s="110"/>
    </row>
    <row r="133" spans="1:13" ht="12.75" customHeight="1">
      <c r="A133" s="110"/>
      <c r="B133" s="278" t="s">
        <v>865</v>
      </c>
      <c r="C133" s="117"/>
      <c r="D133" s="117"/>
      <c r="E133" s="110"/>
      <c r="F133" s="248">
        <f>F132*F48</f>
        <v>17.08575</v>
      </c>
      <c r="G133" s="119" t="s">
        <v>268</v>
      </c>
      <c r="H133" s="129"/>
      <c r="I133" s="110"/>
      <c r="J133" s="110"/>
      <c r="K133" s="110"/>
      <c r="L133" s="110"/>
      <c r="M133" s="110"/>
    </row>
    <row r="134" spans="1:13" ht="12.75" customHeight="1">
      <c r="A134" s="110"/>
      <c r="B134" s="117" t="s">
        <v>624</v>
      </c>
      <c r="C134" s="117"/>
      <c r="D134" s="117"/>
      <c r="E134" s="110"/>
      <c r="F134" s="248">
        <f>F133-(F133*(1-K45)*(1-L45))</f>
        <v>2.904798285008386</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65.23237788896142</v>
      </c>
      <c r="G136" s="119" t="s">
        <v>298</v>
      </c>
      <c r="H136" s="129"/>
      <c r="I136" s="110"/>
      <c r="J136" s="110"/>
      <c r="K136" s="110"/>
      <c r="L136" s="110"/>
      <c r="M136" s="110"/>
    </row>
    <row r="137" spans="1:13" ht="12.75" customHeight="1">
      <c r="A137" s="110"/>
      <c r="B137" s="131" t="s">
        <v>569</v>
      </c>
      <c r="C137" s="119"/>
      <c r="D137" s="110"/>
      <c r="E137" s="110"/>
      <c r="F137" s="403">
        <f>IF(F43=0,"0",F136/F43)</f>
        <v>14.180951714991615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Continuous No-Till*</v>
      </c>
      <c r="F144" s="550"/>
      <c r="G144" s="504" t="str">
        <f>IF(OR(E144=$E$245,E144=$E$246),CONCATENATE(E144,$F$151),IF(E144="Continuous No-Till*",CONCATENATE(E144,$F$49),IF(OR(E144=$E$249,E144=$E$250,E144=$E$251,E144=$E$252),CONCATENATE(E144,$F$45),E144)))</f>
        <v>Continuous No-Till*Above Fall Line</v>
      </c>
      <c r="H144" s="505"/>
      <c r="I144" s="505"/>
      <c r="J144" s="506"/>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18" t="str">
        <f>'CREDIT CALCULATION FORM'!F149</f>
        <v>Commodity Cereal Cover Crop</v>
      </c>
      <c r="F145" s="519"/>
      <c r="G145" s="504" t="str">
        <f>IF(OR(E145=$E$245,E145=$E$246),CONCATENATE(E145,$F$151),IF(E145="Continuous No-Till*",CONCATENATE(E145,$F$49),IF(OR(E145=$E$249,E145=$E$250,E145=$E$251,E145=$E$252),CONCATENATE(E145,$F$45),E145)))</f>
        <v>Commodity Cereal Cover CropEarly-Planting - Up to 7 days prior to published first frost date</v>
      </c>
      <c r="H145" s="505"/>
      <c r="I145" s="505"/>
      <c r="J145" s="506"/>
      <c r="K145" s="103" t="str">
        <f>IF(OR(E145=$E$249,E145=$E$250,E145=$E$251,E145=$E$252),CONCATENATE($F$46,VLOOKUP(G145,'BMPs and Bay Model Data'!$D$148:$E$166,2,FALSE)),'Calculations- All Data'!G145)</f>
        <v>Commodity Cereal Cover CropEarly-Planting - Up to 7 days prior to published first frost date</v>
      </c>
      <c r="L145" s="272">
        <f>IF(OR(E145=$E$249,E145=$E$250,E145=$E$251,E145=$E$252),VLOOKUP(K145,'BMPs and Bay Model Data'!$A$170:$B$351,2,FALSE),VLOOKUP(K145,'BMPs and Bay Model Data'!$C$36:$D$57,2,FALSE))</f>
        <v>0.25</v>
      </c>
      <c r="M145" s="110"/>
    </row>
    <row r="146" spans="1:13" ht="12.75" customHeight="1">
      <c r="A146" s="110"/>
      <c r="B146" s="110"/>
      <c r="C146" s="110"/>
      <c r="D146" s="110"/>
      <c r="E146" s="518">
        <f>'CREDIT CALCULATION FORM'!F150</f>
        <v>0</v>
      </c>
      <c r="F146" s="519"/>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4.6</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Early-Planting - Up to 7 days prior to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23.64673698474852</v>
      </c>
      <c r="G153" s="120" t="s">
        <v>298</v>
      </c>
      <c r="H153" s="122"/>
      <c r="I153" s="211"/>
      <c r="J153" s="254"/>
      <c r="K153" s="254"/>
      <c r="L153" s="120"/>
      <c r="M153" s="120"/>
    </row>
    <row r="154" spans="1:13" ht="12.75">
      <c r="A154" s="110"/>
      <c r="B154" s="110"/>
      <c r="C154" s="110"/>
      <c r="D154" s="141" t="s">
        <v>548</v>
      </c>
      <c r="E154" s="212"/>
      <c r="F154" s="281">
        <f>IF(F43=0,"0",(F136-F153)/F43)</f>
        <v>9.040356718307153</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23.64673698474852</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23.64673698474852</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21.991465395816125</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21.991465395816125</v>
      </c>
      <c r="G180" s="110" t="s">
        <v>585</v>
      </c>
      <c r="H180" s="110"/>
      <c r="I180" s="110"/>
      <c r="J180" s="110"/>
      <c r="K180" s="110"/>
      <c r="L180" s="110"/>
      <c r="M180" s="110"/>
    </row>
    <row r="181" spans="1:13" ht="13.5" thickBot="1">
      <c r="A181" s="110"/>
      <c r="B181" s="116" t="s">
        <v>561</v>
      </c>
      <c r="C181" s="415"/>
      <c r="D181" s="415"/>
      <c r="E181" s="415"/>
      <c r="F181" s="416">
        <f>ROUND(F180,0)</f>
        <v>22</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19.8</v>
      </c>
      <c r="G184" s="420" t="s">
        <v>585</v>
      </c>
      <c r="H184" s="110"/>
      <c r="I184" s="110"/>
      <c r="J184" s="110"/>
      <c r="K184" s="110"/>
      <c r="L184" s="110"/>
      <c r="M184" s="110"/>
    </row>
    <row r="185" spans="1:13" ht="15.75" thickBot="1">
      <c r="A185" s="110"/>
      <c r="B185" s="112" t="s">
        <v>559</v>
      </c>
      <c r="C185" s="421"/>
      <c r="D185" s="421"/>
      <c r="E185" s="421"/>
      <c r="F185" s="414">
        <f>ROUND(F184,0)</f>
        <v>20</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5" t="s">
        <v>279</v>
      </c>
      <c r="D252" s="586"/>
      <c r="E252" s="8" t="s">
        <v>469</v>
      </c>
    </row>
    <row r="253" spans="1:5" ht="12.75">
      <c r="A253" s="58" t="s">
        <v>454</v>
      </c>
      <c r="B253" s="58">
        <v>36</v>
      </c>
      <c r="C253" s="571" t="s">
        <v>605</v>
      </c>
      <c r="D253" s="572"/>
      <c r="E253" s="405" t="s">
        <v>604</v>
      </c>
    </row>
    <row r="254" spans="1:5" ht="12.75">
      <c r="A254" s="104" t="s">
        <v>451</v>
      </c>
      <c r="B254" s="105">
        <v>11</v>
      </c>
      <c r="C254" s="582" t="s">
        <v>279</v>
      </c>
      <c r="D254" s="572"/>
      <c r="E254" s="7" t="s">
        <v>469</v>
      </c>
    </row>
    <row r="255" spans="1:5" ht="12.75">
      <c r="A255" s="33" t="s">
        <v>452</v>
      </c>
      <c r="B255" s="222">
        <v>14</v>
      </c>
      <c r="C255" s="585" t="s">
        <v>279</v>
      </c>
      <c r="D255" s="586"/>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3">
        <v>0</v>
      </c>
      <c r="D270" s="584"/>
      <c r="E270" s="145"/>
    </row>
    <row r="271" spans="1:4" ht="12.75">
      <c r="A271" s="58"/>
      <c r="B271" s="58"/>
      <c r="C271" s="58"/>
      <c r="D271" s="58"/>
    </row>
    <row r="272" spans="1:2" ht="12.75">
      <c r="A272" s="25"/>
      <c r="B272" s="24"/>
    </row>
    <row r="273" spans="1:5" ht="15">
      <c r="A273" s="580" t="s">
        <v>281</v>
      </c>
      <c r="B273" s="58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C252:D252"/>
    <mergeCell ref="A273:B273"/>
    <mergeCell ref="C262:D262"/>
    <mergeCell ref="C254:D254"/>
    <mergeCell ref="C263:D263"/>
    <mergeCell ref="C270:D270"/>
    <mergeCell ref="C265:D265"/>
    <mergeCell ref="C266:D266"/>
    <mergeCell ref="C255:D255"/>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91" t="s">
        <v>299</v>
      </c>
      <c r="B34" s="597" t="s">
        <v>577</v>
      </c>
      <c r="C34" s="591" t="s">
        <v>386</v>
      </c>
      <c r="D34" s="599" t="s">
        <v>573</v>
      </c>
      <c r="E34" s="599" t="s">
        <v>574</v>
      </c>
      <c r="F34" s="599" t="s">
        <v>575</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3" t="s">
        <v>299</v>
      </c>
      <c r="B61" s="596" t="s">
        <v>402</v>
      </c>
      <c r="C61" s="589" t="s">
        <v>387</v>
      </c>
      <c r="D61" s="62" t="s">
        <v>573</v>
      </c>
      <c r="E61" s="62" t="s">
        <v>574</v>
      </c>
      <c r="F61" s="62" t="s">
        <v>575</v>
      </c>
      <c r="G61" s="199"/>
    </row>
    <row r="62" spans="1:7" ht="12.75">
      <c r="A62" s="594"/>
      <c r="B62" s="594"/>
      <c r="C62" s="589"/>
      <c r="D62" s="63" t="s">
        <v>320</v>
      </c>
      <c r="E62" s="63" t="s">
        <v>320</v>
      </c>
      <c r="F62" s="63" t="s">
        <v>320</v>
      </c>
      <c r="G62" s="200"/>
    </row>
    <row r="63" spans="1:7" ht="12.75">
      <c r="A63" s="594"/>
      <c r="B63" s="594"/>
      <c r="C63" s="589"/>
      <c r="D63" s="64" t="s">
        <v>300</v>
      </c>
      <c r="E63" s="64" t="s">
        <v>300</v>
      </c>
      <c r="F63" s="64" t="s">
        <v>300</v>
      </c>
      <c r="G63" s="200"/>
    </row>
    <row r="64" spans="1:7" ht="13.5" thickBot="1">
      <c r="A64" s="595"/>
      <c r="B64" s="595"/>
      <c r="C64" s="590"/>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87" t="s">
        <v>639</v>
      </c>
      <c r="B145" s="588"/>
      <c r="C145" s="588"/>
      <c r="D145" s="588"/>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2019-01-18T14:08:38Z</dcterms:modified>
  <cp:category/>
  <cp:version/>
  <cp:contentType/>
  <cp:contentStatus/>
</cp:coreProperties>
</file>