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<sst xmlns="http://schemas.openxmlformats.org/spreadsheetml/2006/main" count="1895" uniqueCount="880">
  <si>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</si>
  <si>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</si>
  <si>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</si>
  <si>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</si>
  <si>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</si>
  <si>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</si>
  <si>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</si>
  <si>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</si>
  <si>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</si>
  <si>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</si>
  <si>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</si>
  <si>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</si>
  <si>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</si>
  <si>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</si>
  <si>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</si>
  <si>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</si>
  <si>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</si>
  <si>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</si>
  <si>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</si>
  <si>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</si>
  <si>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</si>
  <si>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</si>
  <si>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</si>
  <si>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</si>
  <si>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</si>
  <si>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</si>
  <si>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</si>
  <si>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</si>
  <si>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</si>
  <si>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</si>
  <si>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</si>
  <si>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</si>
  <si>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</si>
  <si>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</si>
  <si>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</si>
  <si>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</si>
  <si>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</si>
  <si>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</si>
  <si>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</si>
  <si>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</si>
  <si>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</si>
  <si>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</si>
  <si>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</si>
  <si>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</si>
  <si>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</si>
  <si>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</si>
  <si>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</si>
  <si>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</si>
  <si>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</si>
  <si>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</si>
  <si>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</si>
  <si>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</si>
  <si>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</si>
  <si>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</si>
  <si>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</si>
  <si>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</si>
  <si>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</si>
  <si>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</si>
  <si>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</si>
  <si>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</si>
  <si>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</si>
  <si>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</si>
  <si>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</si>
  <si>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</si>
  <si>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</si>
  <si>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</si>
  <si>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</si>
  <si>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</si>
  <si>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</si>
  <si>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</si>
  <si>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</si>
  <si>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</si>
  <si>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</si>
  <si>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</si>
  <si>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</si>
  <si>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</si>
  <si>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</si>
  <si>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</si>
  <si>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</si>
  <si>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</si>
  <si>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</si>
  <si>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</si>
  <si>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</si>
  <si>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</si>
  <si>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</si>
  <si>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</si>
  <si>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</si>
  <si>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</si>
  <si>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</si>
  <si>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</si>
  <si>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</si>
  <si>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</si>
  <si>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</si>
  <si>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</si>
  <si>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</si>
  <si>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</si>
  <si>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</si>
  <si>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</si>
  <si>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</si>
  <si>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</si>
  <si>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</si>
  <si>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</si>
  <si>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</si>
  <si>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</si>
  <si>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</si>
  <si>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</si>
  <si>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</si>
  <si>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</si>
  <si>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</si>
  <si>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</si>
  <si>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</si>
  <si>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</si>
  <si>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</si>
  <si>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</si>
  <si>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</si>
  <si>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</si>
  <si>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</si>
  <si>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</si>
  <si>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</si>
  <si>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</si>
  <si>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</si>
  <si>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</si>
  <si>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</si>
  <si>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</si>
  <si>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</si>
  <si>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</si>
  <si>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</si>
  <si>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</si>
  <si>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</si>
  <si>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</si>
  <si>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</si>
  <si>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</si>
  <si>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</si>
  <si>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</si>
  <si>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</si>
  <si>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</si>
  <si>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</si>
  <si>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</si>
  <si>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</si>
  <si>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</si>
  <si>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</si>
  <si>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</si>
  <si>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</si>
  <si>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</si>
  <si>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</si>
  <si>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</si>
  <si>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</si>
  <si>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</si>
  <si>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</si>
  <si>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</si>
  <si>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</si>
  <si>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</si>
  <si>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</si>
  <si>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</si>
  <si>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</si>
  <si>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</si>
  <si>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</si>
  <si>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</si>
  <si>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</si>
  <si>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</si>
  <si>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</si>
  <si>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</si>
  <si>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</si>
  <si>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</si>
  <si>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</si>
  <si>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</si>
  <si>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</si>
  <si>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</si>
  <si>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</si>
  <si>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</si>
  <si>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</si>
  <si>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</si>
  <si>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</si>
  <si>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</si>
  <si>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</si>
  <si>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</si>
  <si>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</si>
  <si>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</si>
  <si>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</si>
  <si>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</si>
  <si>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</si>
  <si>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</si>
  <si>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</si>
  <si>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</si>
  <si>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</si>
  <si>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</si>
  <si>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</si>
  <si>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</si>
  <si>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</si>
  <si>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</si>
  <si>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</si>
  <si>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</si>
  <si>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</si>
  <si>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</si>
  <si>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</si>
  <si>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</si>
  <si>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</si>
  <si>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</si>
  <si>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</si>
  <si>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</si>
  <si>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</si>
  <si>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</si>
  <si>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</si>
  <si>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</si>
  <si>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</si>
  <si>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</si>
  <si>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</si>
  <si>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</si>
  <si>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</si>
  <si>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</si>
  <si>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</si>
  <si>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</si>
  <si>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</si>
  <si>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</si>
  <si>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</si>
  <si>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</si>
  <si>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</si>
  <si>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</si>
  <si>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</si>
  <si>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</si>
  <si>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</si>
  <si>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</si>
  <si>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</si>
  <si>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</si>
  <si>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</si>
  <si>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</si>
  <si>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</si>
  <si>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</si>
  <si>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</si>
  <si>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</si>
  <si>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</si>
  <si>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</si>
  <si>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</si>
  <si>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</si>
  <si>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</si>
  <si>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</si>
  <si>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</si>
  <si>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</si>
  <si>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</si>
  <si>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</si>
  <si>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</si>
  <si>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</si>
  <si>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</si>
  <si>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</si>
  <si>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</si>
  <si>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</si>
  <si>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</si>
  <si>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</si>
  <si>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</si>
  <si>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</si>
  <si>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</si>
  <si>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</si>
  <si>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</si>
  <si>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</si>
  <si>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</si>
  <si>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</si>
  <si>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</si>
  <si>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</si>
  <si>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</si>
  <si>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</si>
  <si>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</si>
  <si>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</si>
  <si>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</si>
  <si>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</si>
  <si>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</si>
  <si>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</si>
  <si>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</si>
  <si>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</si>
  <si>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</si>
  <si>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</si>
  <si>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</si>
  <si>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</si>
  <si>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</si>
  <si>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</si>
  <si>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</si>
  <si>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</si>
  <si>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</si>
  <si>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</si>
  <si>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</si>
  <si>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</si>
  <si>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</si>
  <si>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</si>
  <si>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</si>
  <si>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</si>
  <si>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</si>
  <si>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</si>
  <si>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</si>
  <si>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</si>
  <si>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</si>
  <si>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</si>
  <si>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</si>
  <si>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</si>
  <si>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</si>
  <si>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</si>
  <si>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</si>
  <si>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</si>
  <si>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</si>
  <si>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</si>
  <si>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</si>
  <si>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</si>
  <si>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</si>
  <si>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</si>
  <si>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</si>
  <si>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</si>
  <si>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</si>
  <si>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</si>
  <si>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</si>
  <si>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</si>
  <si>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</si>
  <si>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</si>
  <si>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</si>
  <si>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</si>
  <si>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</si>
  <si>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</si>
  <si>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</si>
  <si>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</si>
  <si>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</si>
  <si>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</si>
  <si>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</si>
  <si>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</si>
  <si>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</si>
  <si>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</si>
  <si>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</si>
  <si>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</si>
  <si>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</si>
  <si>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</si>
  <si>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</si>
  <si>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</si>
  <si>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</si>
  <si>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</si>
  <si>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</si>
  <si>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</si>
  <si>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</si>
  <si>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</si>
  <si>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</si>
  <si>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</si>
  <si>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</si>
  <si>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</si>
  <si>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</si>
  <si>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</si>
  <si>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</si>
  <si>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</si>
  <si>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</si>
  <si>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</si>
  <si>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</si>
  <si>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</si>
  <si>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</si>
  <si>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</si>
  <si>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</si>
  <si>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</si>
  <si>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</si>
  <si>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</si>
  <si>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</si>
  <si>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</si>
  <si>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</si>
  <si>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</si>
  <si>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</si>
  <si>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</si>
  <si>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</si>
  <si>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</si>
  <si>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</si>
  <si>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</si>
  <si>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</si>
  <si>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</si>
  <si>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</si>
  <si>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</si>
  <si>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</si>
  <si>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</si>
  <si>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</si>
  <si>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</si>
  <si>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</si>
  <si>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</si>
  <si>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</si>
  <si>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</si>
  <si>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</si>
  <si>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</si>
  <si>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</si>
  <si>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</si>
  <si>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</si>
  <si>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</si>
  <si>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</si>
  <si>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</si>
  <si>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</si>
  <si>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</si>
  <si>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</si>
  <si>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</si>
  <si>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</si>
  <si>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</si>
  <si>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</si>
  <si>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</si>
  <si>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</si>
  <si>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</si>
  <si>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</si>
  <si>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</si>
  <si>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</si>
  <si>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</si>
  <si>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</si>
  <si>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</si>
  <si>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</si>
  <si>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</si>
  <si>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</si>
  <si>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</si>
  <si>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</si>
  <si>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</si>
  <si>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</si>
  <si>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</si>
  <si>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</si>
  <si>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</si>
  <si>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</si>
  <si>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</si>
  <si>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</si>
  <si>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</si>
  <si>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</si>
  <si>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</si>
  <si>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</si>
  <si>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</si>
  <si>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</si>
  <si>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</si>
  <si>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</si>
  <si>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</si>
  <si>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</si>
  <si>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</si>
  <si>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</si>
  <si>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</si>
  <si>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</si>
  <si>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</si>
  <si>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</si>
  <si>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</si>
  <si>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</si>
  <si>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</si>
  <si>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</si>
  <si>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</si>
  <si>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</si>
  <si>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</si>
  <si>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</si>
  <si>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</si>
  <si>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</si>
  <si>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</si>
  <si>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</si>
  <si>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</si>
  <si>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</si>
  <si>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</si>
  <si>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</si>
  <si>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</si>
  <si>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</si>
  <si>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</si>
  <si>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</si>
  <si>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</si>
  <si>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</si>
  <si>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</si>
  <si>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</si>
  <si>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</si>
  <si>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</si>
  <si>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</si>
  <si>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</si>
  <si>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</si>
  <si>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</si>
  <si>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</si>
  <si>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</si>
  <si>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</si>
  <si>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</si>
  <si>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</si>
  <si>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</si>
  <si>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</si>
  <si>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</si>
  <si>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</si>
  <si>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</si>
  <si>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</si>
  <si>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</si>
  <si>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</si>
  <si>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</si>
  <si>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</si>
  <si>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</si>
  <si>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</si>
  <si>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</si>
  <si>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</si>
  <si>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</si>
  <si>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</si>
  <si>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</si>
  <si>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</si>
  <si>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</si>
  <si>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</si>
  <si>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</si>
  <si>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</si>
  <si>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</si>
  <si>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</si>
  <si>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</si>
  <si>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</si>
  <si>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</si>
  <si>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</si>
  <si>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</si>
  <si>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</si>
  <si>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</si>
  <si>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</si>
  <si>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</si>
  <si>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</si>
  <si>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</si>
  <si>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</si>
  <si>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</si>
  <si>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</si>
  <si>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</si>
  <si>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</si>
  <si>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</si>
  <si>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</si>
  <si>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</si>
  <si>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</si>
  <si>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</si>
  <si>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</si>
  <si>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</si>
  <si>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</si>
  <si>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</si>
  <si>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</si>
  <si>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</si>
  <si>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</si>
  <si>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</si>
  <si>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</si>
  <si>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</si>
  <si>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</si>
  <si>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</si>
  <si>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</si>
  <si>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</si>
  <si>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</si>
  <si>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</si>
  <si>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</si>
  <si>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</si>
  <si>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</si>
  <si>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</si>
  <si>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</si>
  <si>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</si>
  <si>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</si>
  <si>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</si>
  <si>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</si>
  <si>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</si>
  <si>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</si>
  <si>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</si>
  <si>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</si>
  <si>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</si>
  <si>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</si>
  <si>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</si>
  <si>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</si>
  <si>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</si>
  <si>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</si>
  <si>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</si>
  <si>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</si>
  <si>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</si>
  <si>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</si>
  <si>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</si>
  <si>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</si>
  <si>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</si>
  <si>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</si>
  <si>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</si>
  <si>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</si>
  <si>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</si>
  <si>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</si>
  <si>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</si>
  <si>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</si>
  <si>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</si>
  <si>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</si>
  <si>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</si>
  <si>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</si>
  <si>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</si>
  <si>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</si>
  <si>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</si>
  <si>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</si>
  <si>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</si>
  <si>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</si>
  <si>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</si>
  <si>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</si>
  <si>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</si>
  <si>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</si>
  <si>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</si>
  <si>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</si>
  <si>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</si>
  <si>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</si>
  <si>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</si>
  <si>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</si>
  <si>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</si>
  <si>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</si>
  <si>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</si>
  <si>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</si>
  <si>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</si>
  <si>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</si>
  <si>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</si>
  <si>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</si>
  <si>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</si>
  <si>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</si>
  <si>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</si>
  <si>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</si>
  <si>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</si>
  <si>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</si>
  <si>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</si>
  <si>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</si>
  <si>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</si>
  <si>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</si>
  <si>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</si>
  <si>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</si>
  <si>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</si>
  <si>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</si>
  <si>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</si>
  <si>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</si>
  <si>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</si>
  <si>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</si>
  <si>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</si>
  <si>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</si>
  <si>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</si>
  <si>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</si>
  <si>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</si>
  <si>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</si>
  <si>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</si>
  <si>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</si>
  <si>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</si>
  <si>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</si>
  <si>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</si>
  <si>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</si>
  <si>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</si>
  <si>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</si>
  <si>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</si>
  <si>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</si>
  <si>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</si>
  <si>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</si>
  <si>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</si>
  <si>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</si>
  <si>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</si>
  <si>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</si>
  <si>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</si>
  <si>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</si>
  <si>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</si>
  <si>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</si>
  <si>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</si>
  <si>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</si>
  <si>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</si>
  <si>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</si>
  <si>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</si>
  <si>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</si>
  <si>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</si>
  <si>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</si>
  <si>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</si>
  <si>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</si>
  <si>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</si>
  <si>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</si>
  <si>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</si>
  <si>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</si>
  <si>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</si>
  <si>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</si>
  <si>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</si>
  <si>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</si>
  <si>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</si>
  <si>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</si>
  <si>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</si>
  <si>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</si>
  <si>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</si>
  <si>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</si>
  <si>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</si>
  <si>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</si>
  <si>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</si>
  <si>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</si>
  <si>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</si>
  <si>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</si>
  <si>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</si>
  <si>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</si>
  <si>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</si>
  <si>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</si>
  <si>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</si>
  <si>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</si>
  <si>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</si>
  <si>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</si>
  <si>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</si>
  <si>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</si>
  <si>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</si>
  <si>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</si>
  <si>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</si>
  <si>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</si>
  <si>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</si>
  <si>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</si>
  <si>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</si>
  <si>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</si>
  <si>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</si>
  <si>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</si>
  <si>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</si>
  <si>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</si>
  <si>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</si>
  <si>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</si>
  <si>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</si>
  <si>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</si>
  <si>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</si>
  <si>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</si>
  <si>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</si>
  <si>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</si>
  <si>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</si>
  <si>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</si>
  <si>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</si>
  <si>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</si>
  <si>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</si>
  <si>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</si>
  <si>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</si>
  <si>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</si>
  <si>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</si>
  <si>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</si>
  <si>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</si>
  <si>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</si>
  <si>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</si>
  <si>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</si>
  <si>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</si>
  <si>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</si>
  <si>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</si>
  <si>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</si>
  <si>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</si>
  <si>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</si>
  <si>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</si>
  <si>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</si>
  <si>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</si>
  <si>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</si>
  <si>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</si>
  <si>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</si>
  <si>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</si>
  <si>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</si>
  <si>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</si>
  <si>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</si>
  <si>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</si>
  <si>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</si>
  <si>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</si>
  <si>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</si>
  <si>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</si>
  <si>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</si>
  <si>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</si>
  <si>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</si>
  <si>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</si>
  <si>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</si>
  <si>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</si>
  <si>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</si>
  <si>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</si>
  <si>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</si>
  <si>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</si>
  <si>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</si>
  <si>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</si>
  <si>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</si>
  <si>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</si>
  <si>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</si>
  <si>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</si>
  <si>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</si>
  <si>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</si>
  <si>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</si>
  <si>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</si>
  <si>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</si>
  <si>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</si>
  <si>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</si>
  <si>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</si>
  <si>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</si>
  <si>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</si>
  <si>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</si>
  <si>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</si>
  <si>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</si>
  <si>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</si>
  <si>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</si>
  <si>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</si>
  <si>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</si>
  <si>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</si>
  <si>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</si>
  <si>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</si>
  <si>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</si>
  <si>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</si>
  <si>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</si>
  <si>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</si>
  <si>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</si>
  <si>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</si>
  <si>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</si>
  <si>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</si>
  <si>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</si>
  <si>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</si>
  <si>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</si>
  <si>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</si>
  <si>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</si>
  <si>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</si>
  <si>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</si>
  <si>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</si>
  <si>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</si>
  <si>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</si>
  <si>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</si>
  <si>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</si>
  <si>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</si>
  <si>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</si>
  <si>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</si>
  <si>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</si>
  <si>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</si>
  <si>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</si>
  <si>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</si>
  <si>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</si>
  <si>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</si>
  <si>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</si>
  <si>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</si>
  <si>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</si>
  <si>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</si>
  <si>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</si>
  <si>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</si>
  <si>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</si>
  <si>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</si>
  <si>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</si>
  <si>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</si>
  <si>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</si>
  <si>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</si>
  <si>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</si>
  <si>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</si>
  <si>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</si>
  <si>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</si>
  <si>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</si>
  <si>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</si>
  <si>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</si>
  <si>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</si>
  <si>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</si>
  <si>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</si>
  <si>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</si>
  <si>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</si>
  <si>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</si>
  <si>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</si>
  <si>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</si>
  <si>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</si>
  <si>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</si>
  <si>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</si>
  <si>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</si>
  <si>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</si>
  <si>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</si>
  <si>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</si>
  <si>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</si>
  <si>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</si>
  <si>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</si>
  <si>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</si>
  <si>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</si>
  <si>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</si>
  <si>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</si>
  <si>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</si>
  <si>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</si>
  <si>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</si>
  <si>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</si>
  <si>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</si>
  <si>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</si>
  <si>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</si>
  <si>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</si>
  <si>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</si>
  <si>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</si>
  <si>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</si>
  <si>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</si>
  <si>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</si>
  <si>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</si>
  <si>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</si>
  <si>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</si>
  <si>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</si>
  <si>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</si>
  <si>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</si>
  <si>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</si>
  <si>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</si>
  <si>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</si>
  <si>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</si>
  <si>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</si>
  <si>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</si>
  <si>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</si>
  <si>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</si>
  <si>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</si>
  <si>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</si>
  <si>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</si>
  <si>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</si>
  <si>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</si>
  <si>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</si>
  <si>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</si>
  <si>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</si>
  <si>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</si>
  <si>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</si>
  <si>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</si>
  <si>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</si>
  <si>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</si>
  <si>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</si>
  <si>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</si>
  <si>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</si>
  <si>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</si>
  <si>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</si>
  <si>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</si>
  <si>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</si>
  <si>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</si>
  <si>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</si>
  <si>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</si>
  <si>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 xml:space="preserve">London P 2,3,11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</si>
</sst>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41" t="s">
        <v>331</v>
      </c>
      <c r="B3" s="441"/>
      <c r="C3" s="441"/>
      <c r="D3" s="441"/>
      <c r="E3" s="441"/>
      <c r="F3" s="441"/>
      <c r="G3" s="441"/>
      <c r="H3" s="441"/>
      <c r="I3" s="441"/>
      <c r="J3" s="441"/>
      <c r="K3" s="441"/>
      <c r="L3" s="441"/>
      <c r="M3" s="441"/>
    </row>
    <row r="4" spans="1:13" ht="35.25" customHeight="1">
      <c r="A4" s="449" t="s">
        <v>641</v>
      </c>
      <c r="B4" s="449"/>
      <c r="C4" s="449"/>
      <c r="D4" s="449"/>
      <c r="E4" s="449"/>
      <c r="F4" s="449"/>
      <c r="G4" s="449"/>
      <c r="H4" s="449"/>
      <c r="I4" s="449"/>
      <c r="J4" s="449"/>
      <c r="K4" s="449"/>
      <c r="L4" s="449"/>
      <c r="M4" s="449"/>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2">
        <v>42958</v>
      </c>
      <c r="G6" s="473"/>
      <c r="H6" s="473"/>
      <c r="I6" s="474"/>
      <c r="J6" s="316"/>
      <c r="K6" s="316"/>
      <c r="L6" s="316"/>
      <c r="M6" s="316"/>
    </row>
    <row r="7" spans="1:13" ht="12.75" customHeight="1">
      <c r="A7" s="316"/>
      <c r="B7" s="316"/>
      <c r="C7" s="316"/>
      <c r="D7" s="316" t="s">
        <v>550</v>
      </c>
      <c r="E7" s="316"/>
      <c r="F7" s="483" t="s">
        <v>879</v>
      </c>
      <c r="G7" s="484"/>
      <c r="H7" s="484"/>
      <c r="I7" s="484"/>
      <c r="J7" s="458"/>
      <c r="K7" s="459"/>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5" t="s">
        <v>661</v>
      </c>
      <c r="G10" s="476"/>
      <c r="H10" s="476"/>
      <c r="I10" s="477"/>
      <c r="J10" s="26"/>
      <c r="K10" s="26"/>
      <c r="L10" s="26"/>
      <c r="M10" s="26"/>
    </row>
    <row r="11" spans="1:13" ht="12.75">
      <c r="A11" s="39"/>
      <c r="B11" s="26"/>
      <c r="C11" s="26"/>
      <c r="D11" s="26" t="s">
        <v>372</v>
      </c>
      <c r="E11" s="26"/>
      <c r="F11" s="478" t="s">
        <v>662</v>
      </c>
      <c r="G11" s="478"/>
      <c r="H11" s="478"/>
      <c r="I11" s="478"/>
      <c r="J11" s="479"/>
      <c r="K11" s="479"/>
      <c r="L11" s="26"/>
      <c r="M11" s="26"/>
    </row>
    <row r="12" spans="1:13" ht="12.75">
      <c r="A12" s="39"/>
      <c r="B12" s="26"/>
      <c r="C12" s="26"/>
      <c r="D12" s="26" t="s">
        <v>373</v>
      </c>
      <c r="E12" s="26"/>
      <c r="F12" s="480" t="s">
        <v>663</v>
      </c>
      <c r="G12" s="481"/>
      <c r="H12" s="481"/>
      <c r="I12" s="482"/>
      <c r="J12" s="156"/>
      <c r="K12" s="156"/>
      <c r="L12" s="26"/>
      <c r="M12" s="26"/>
    </row>
    <row r="13" spans="1:13" ht="12.75">
      <c r="A13" s="39"/>
      <c r="B13" s="26"/>
      <c r="C13" s="26"/>
      <c r="D13" s="26" t="s">
        <v>530</v>
      </c>
      <c r="E13" s="26"/>
      <c r="F13" s="489" t="s">
        <v>664</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39" t="s">
        <v>448</v>
      </c>
      <c r="C19" s="439"/>
      <c r="D19" s="439"/>
      <c r="E19" s="439"/>
      <c r="F19" s="439"/>
      <c r="G19" s="439"/>
      <c r="H19" s="439"/>
      <c r="I19" s="439"/>
      <c r="J19" s="439"/>
      <c r="K19" s="439"/>
      <c r="L19" s="490"/>
      <c r="M19" s="26"/>
    </row>
    <row r="20" spans="1:13" ht="12.75">
      <c r="A20" s="39"/>
      <c r="B20" s="439"/>
      <c r="C20" s="439"/>
      <c r="D20" s="439"/>
      <c r="E20" s="439"/>
      <c r="F20" s="439"/>
      <c r="G20" s="439"/>
      <c r="H20" s="439"/>
      <c r="I20" s="439"/>
      <c r="J20" s="439"/>
      <c r="K20" s="439"/>
      <c r="L20" s="490"/>
      <c r="M20" s="26"/>
    </row>
    <row r="21" spans="1:13" ht="12.75">
      <c r="A21" s="39"/>
      <c r="B21" s="455"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5"/>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5" t="s">
        <v>878</v>
      </c>
      <c r="C26" s="486"/>
      <c r="D26" s="486"/>
      <c r="E26" s="486"/>
      <c r="F26" s="486"/>
      <c r="G26" s="486"/>
      <c r="H26" s="486"/>
      <c r="I26" s="486"/>
      <c r="J26" s="486"/>
      <c r="K26" s="458"/>
      <c r="L26" s="459"/>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7"/>
      <c r="G28" s="470"/>
      <c r="H28" s="470"/>
      <c r="I28" s="471"/>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2"/>
      <c r="D31" s="442"/>
      <c r="E31" s="442"/>
      <c r="F31" s="442"/>
      <c r="G31" s="442"/>
      <c r="H31" s="442"/>
      <c r="I31" s="442"/>
      <c r="J31" s="442"/>
      <c r="K31" s="442"/>
      <c r="L31" s="442"/>
      <c r="M31" s="442"/>
    </row>
    <row r="32" spans="1:13" ht="12.75">
      <c r="A32" s="39"/>
      <c r="B32" s="442"/>
      <c r="C32" s="442"/>
      <c r="D32" s="442"/>
      <c r="E32" s="442"/>
      <c r="F32" s="442"/>
      <c r="G32" s="442"/>
      <c r="H32" s="442"/>
      <c r="I32" s="442"/>
      <c r="J32" s="442"/>
      <c r="K32" s="442"/>
      <c r="L32" s="442"/>
      <c r="M32" s="442"/>
    </row>
    <row r="33" spans="1:13" ht="8.25" customHeight="1">
      <c r="A33" s="39"/>
      <c r="B33" s="440" t="s">
        <v>334</v>
      </c>
      <c r="C33" s="442"/>
      <c r="D33" s="442"/>
      <c r="E33" s="442"/>
      <c r="F33" s="442"/>
      <c r="G33" s="442"/>
      <c r="H33" s="442"/>
      <c r="I33" s="442"/>
      <c r="J33" s="442"/>
      <c r="K33" s="442"/>
      <c r="L33" s="442"/>
      <c r="M33" s="442"/>
    </row>
    <row r="34" spans="1:13" ht="12.75">
      <c r="A34" s="39"/>
      <c r="B34" s="442"/>
      <c r="C34" s="442"/>
      <c r="D34" s="442"/>
      <c r="E34" s="442"/>
      <c r="F34" s="442"/>
      <c r="G34" s="442"/>
      <c r="H34" s="442"/>
      <c r="I34" s="442"/>
      <c r="J34" s="442"/>
      <c r="K34" s="442"/>
      <c r="L34" s="442"/>
      <c r="M34" s="442"/>
    </row>
    <row r="35" spans="1:13" ht="12.75">
      <c r="A35" s="39"/>
      <c r="B35" s="442"/>
      <c r="C35" s="442"/>
      <c r="D35" s="442"/>
      <c r="E35" s="442"/>
      <c r="F35" s="442"/>
      <c r="G35" s="442"/>
      <c r="H35" s="442"/>
      <c r="I35" s="442"/>
      <c r="J35" s="442"/>
      <c r="K35" s="442"/>
      <c r="L35" s="442"/>
      <c r="M35" s="442"/>
    </row>
    <row r="36" ht="12.75">
      <c r="A36" s="178"/>
    </row>
    <row r="37" spans="1:13" ht="15">
      <c r="A37" s="132" t="s">
        <v>340</v>
      </c>
      <c r="B37" s="98"/>
      <c r="C37" s="26"/>
      <c r="D37" s="26"/>
      <c r="E37" s="26"/>
      <c r="F37" s="26"/>
      <c r="G37" s="26"/>
      <c r="H37" s="26"/>
      <c r="I37" s="26"/>
      <c r="J37" s="26"/>
      <c r="K37" s="26"/>
      <c r="L37" s="26"/>
      <c r="M37" s="26"/>
    </row>
    <row r="38" spans="1:13" ht="14.25">
      <c r="A38" s="136" t="s">
        <v>346</v>
      </c>
      <c r="B38" s="466" t="s">
        <v>854</v>
      </c>
      <c r="C38" s="466"/>
      <c r="D38" s="466"/>
      <c r="E38" s="466"/>
      <c r="F38" s="26"/>
      <c r="G38" s="463" t="s">
        <v>9</v>
      </c>
      <c r="H38" s="464"/>
      <c r="I38" s="464"/>
      <c r="J38" s="464"/>
      <c r="K38" s="464"/>
      <c r="L38" s="465"/>
      <c r="M38" s="26"/>
    </row>
    <row r="39" spans="1:13" ht="12.75">
      <c r="A39" s="136" t="s">
        <v>347</v>
      </c>
      <c r="B39" s="466" t="s">
        <v>375</v>
      </c>
      <c r="C39" s="466"/>
      <c r="D39" s="466"/>
      <c r="E39" s="466"/>
      <c r="F39" s="26"/>
      <c r="G39" s="154">
        <v>28.7</v>
      </c>
      <c r="H39" s="42"/>
      <c r="I39" s="42"/>
      <c r="J39" s="42"/>
      <c r="K39" s="46"/>
      <c r="L39" s="46"/>
      <c r="M39" s="26"/>
    </row>
    <row r="40" spans="1:13" ht="12.75">
      <c r="A40" s="136" t="s">
        <v>348</v>
      </c>
      <c r="B40" s="466" t="s">
        <v>342</v>
      </c>
      <c r="C40" s="466"/>
      <c r="D40" s="466"/>
      <c r="E40" s="466"/>
      <c r="F40" s="26"/>
      <c r="G40" s="329">
        <v>3</v>
      </c>
      <c r="H40" s="48" t="str">
        <f>CONCATENATE(VLOOKUP(G38,'Data Tables'!A4:C78,3,FALSE),B257)</f>
        <v>ton per acre</v>
      </c>
      <c r="I40" s="26"/>
      <c r="J40" s="42"/>
      <c r="K40" s="46"/>
      <c r="L40" s="46"/>
      <c r="M40" s="26"/>
    </row>
    <row r="41" spans="1:13" ht="12.75">
      <c r="A41" s="136" t="s">
        <v>349</v>
      </c>
      <c r="B41" s="42" t="s">
        <v>594</v>
      </c>
      <c r="C41" s="42"/>
      <c r="D41" s="42"/>
      <c r="E41" s="42"/>
      <c r="F41" s="26"/>
      <c r="G41" s="457" t="s">
        <v>834</v>
      </c>
      <c r="H41" s="458"/>
      <c r="I41" s="458"/>
      <c r="J41" s="458"/>
      <c r="K41" s="458"/>
      <c r="L41" s="459"/>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8" t="s">
        <v>586</v>
      </c>
      <c r="B46" s="442"/>
      <c r="C46" s="442"/>
      <c r="D46" s="442"/>
      <c r="E46" s="442"/>
      <c r="F46" s="442"/>
      <c r="G46" s="442"/>
      <c r="H46" s="442"/>
      <c r="I46" s="442"/>
      <c r="J46" s="442"/>
      <c r="K46" s="442"/>
      <c r="L46" s="442"/>
      <c r="M46" s="442"/>
    </row>
    <row r="47" spans="1:13" ht="17.25">
      <c r="A47" s="98" t="s">
        <v>855</v>
      </c>
      <c r="B47" s="26"/>
      <c r="C47" s="26"/>
      <c r="D47" s="26"/>
      <c r="E47" s="26"/>
      <c r="F47" s="469"/>
      <c r="G47" s="469"/>
      <c r="H47" s="469"/>
      <c r="I47" s="40"/>
      <c r="J47" s="469"/>
      <c r="K47" s="469"/>
      <c r="L47" s="469"/>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50</v>
      </c>
      <c r="G50" s="40" t="s">
        <v>240</v>
      </c>
      <c r="H50" s="40"/>
      <c r="I50" s="40"/>
      <c r="J50" s="154">
        <v>50</v>
      </c>
      <c r="K50" s="26"/>
      <c r="L50" s="26"/>
      <c r="M50" s="26"/>
    </row>
    <row r="51" spans="1:13" ht="12.75">
      <c r="A51" s="136" t="s">
        <v>347</v>
      </c>
      <c r="B51" s="27" t="s">
        <v>474</v>
      </c>
      <c r="C51" s="41"/>
      <c r="D51" s="39"/>
      <c r="E51" s="26"/>
      <c r="F51" s="396">
        <f>'Calculations- All Data'!F57</f>
        <v>50</v>
      </c>
      <c r="G51" s="42" t="s">
        <v>240</v>
      </c>
      <c r="H51" s="42"/>
      <c r="I51" s="42"/>
      <c r="J51" s="397">
        <f>'Calculations- All Data'!J57</f>
        <v>50</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7"/>
      <c r="G54" s="458"/>
      <c r="H54" s="458"/>
      <c r="I54" s="188"/>
      <c r="J54" s="457" t="s">
        <v>386</v>
      </c>
      <c r="K54" s="470"/>
      <c r="L54" s="471"/>
      <c r="M54" s="26"/>
    </row>
    <row r="55" spans="1:13" ht="12.75">
      <c r="A55" s="136" t="s">
        <v>347</v>
      </c>
      <c r="B55" s="41" t="s">
        <v>341</v>
      </c>
      <c r="C55" s="26"/>
      <c r="D55" s="26"/>
      <c r="E55" s="26"/>
      <c r="F55" s="463"/>
      <c r="G55" s="464"/>
      <c r="H55" s="464"/>
      <c r="I55" s="187"/>
      <c r="J55" s="463" t="s">
        <v>423</v>
      </c>
      <c r="K55" s="464"/>
      <c r="L55" s="465"/>
      <c r="M55" s="26"/>
    </row>
    <row r="56" spans="1:13" ht="14.25">
      <c r="A56" s="136" t="s">
        <v>348</v>
      </c>
      <c r="B56" s="267" t="s">
        <v>848</v>
      </c>
      <c r="C56" s="26"/>
      <c r="D56" s="26"/>
      <c r="E56" s="26"/>
      <c r="F56" s="154"/>
      <c r="G56" s="41"/>
      <c r="H56" s="40"/>
      <c r="I56" s="40"/>
      <c r="J56" s="154" t="s">
        <v>723</v>
      </c>
      <c r="K56" s="26"/>
      <c r="L56" s="26"/>
      <c r="M56" s="26"/>
    </row>
    <row r="57" spans="1:13" ht="12.75">
      <c r="A57" s="136"/>
      <c r="B57" s="40"/>
      <c r="C57" s="41" t="s">
        <v>343</v>
      </c>
      <c r="D57" s="26"/>
      <c r="E57" s="26"/>
      <c r="F57" s="154"/>
      <c r="G57" s="41">
        <f>VLOOKUP(F55,'Data Tables'!$A$249:$D$270,3,FALSE)</f>
        <v>0</v>
      </c>
      <c r="H57" s="26"/>
      <c r="I57" s="40"/>
      <c r="J57" s="154">
        <v>11.1</v>
      </c>
      <c r="K57" s="41" t="str">
        <f>VLOOKUP(J55,'Data Tables'!$A$249:$D$270,3,FALSE)</f>
        <v>lbs/ton</v>
      </c>
      <c r="L57" s="26"/>
      <c r="M57" s="26"/>
    </row>
    <row r="58" spans="1:13" ht="12.75">
      <c r="A58" s="136" t="s">
        <v>349</v>
      </c>
      <c r="B58" s="41" t="s">
        <v>866</v>
      </c>
      <c r="C58" s="26"/>
      <c r="D58" s="26"/>
      <c r="E58" s="26"/>
      <c r="F58" s="154"/>
      <c r="G58" s="41">
        <f>VLOOKUP(F55,'Data Tables'!$A$249:$E$270,5,FALSE)</f>
        <v>0</v>
      </c>
      <c r="H58" s="40"/>
      <c r="I58" s="40"/>
      <c r="J58" s="154">
        <v>2.7</v>
      </c>
      <c r="K58" s="41" t="str">
        <f>VLOOKUP(J55,'Data Tables'!$A$249:$E$270,5,FALSE)</f>
        <v>tons/ac</v>
      </c>
      <c r="L58" s="26"/>
      <c r="M58" s="26"/>
    </row>
    <row r="59" spans="1:13" ht="12.75">
      <c r="A59" s="136" t="s">
        <v>495</v>
      </c>
      <c r="B59" s="26" t="str">
        <f>IF(F54=$D$271,"Time when manure will be utilized:","Days until incorporation:")</f>
        <v>Days until incorporation:</v>
      </c>
      <c r="C59" s="41"/>
      <c r="D59" s="26"/>
      <c r="E59" s="26"/>
      <c r="F59" s="457"/>
      <c r="G59" s="458"/>
      <c r="H59" s="458"/>
      <c r="I59" s="187"/>
      <c r="J59" s="457" t="s">
        <v>380</v>
      </c>
      <c r="K59" s="458"/>
      <c r="L59" s="459"/>
      <c r="M59" s="26"/>
    </row>
    <row r="60" spans="1:13" ht="12.75">
      <c r="A60" s="136" t="s">
        <v>497</v>
      </c>
      <c r="B60" s="27" t="s">
        <v>392</v>
      </c>
      <c r="C60" s="41"/>
      <c r="D60" s="26"/>
      <c r="E60" s="26"/>
      <c r="F60" s="398">
        <f>'Calculations- All Data'!F69</f>
        <v>0</v>
      </c>
      <c r="G60" s="42" t="s">
        <v>240</v>
      </c>
      <c r="H60" s="42"/>
      <c r="I60" s="156"/>
      <c r="J60" s="398">
        <f>'Calculations- All Data'!J69</f>
        <v>29.970000000000002</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5.994000000000001</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7"/>
      <c r="G64" s="458"/>
      <c r="H64" s="458"/>
      <c r="I64" s="188"/>
      <c r="J64" s="457" t="s">
        <v>387</v>
      </c>
      <c r="K64" s="470"/>
      <c r="L64" s="471"/>
      <c r="M64" s="26"/>
    </row>
    <row r="65" spans="1:13" ht="12.75">
      <c r="A65" s="26"/>
      <c r="B65" s="40"/>
      <c r="C65" s="41" t="s">
        <v>341</v>
      </c>
      <c r="D65" s="26"/>
      <c r="E65" s="26"/>
      <c r="F65" s="463"/>
      <c r="G65" s="464"/>
      <c r="H65" s="464"/>
      <c r="I65" s="187"/>
      <c r="J65" s="463" t="s">
        <v>423</v>
      </c>
      <c r="K65" s="464"/>
      <c r="L65" s="465"/>
      <c r="M65" s="26"/>
    </row>
    <row r="66" spans="1:13" ht="14.25">
      <c r="A66" s="26"/>
      <c r="B66" s="40"/>
      <c r="C66" s="267" t="s">
        <v>848</v>
      </c>
      <c r="D66" s="26"/>
      <c r="E66" s="26"/>
      <c r="F66" s="154"/>
      <c r="G66" s="41"/>
      <c r="H66" s="40"/>
      <c r="I66" s="40"/>
      <c r="J66" s="154" t="s">
        <v>723</v>
      </c>
      <c r="K66" s="26"/>
      <c r="L66" s="26"/>
      <c r="M66" s="26"/>
    </row>
    <row r="67" spans="1:13" ht="12.75">
      <c r="A67" s="26"/>
      <c r="B67" s="40"/>
      <c r="C67" s="41"/>
      <c r="D67" s="41" t="s">
        <v>343</v>
      </c>
      <c r="E67" s="26"/>
      <c r="F67" s="154"/>
      <c r="G67" s="41">
        <f>VLOOKUP(F65,'Data Tables'!$A$249:$D$270,3,FALSE)</f>
        <v>0</v>
      </c>
      <c r="H67" s="26"/>
      <c r="I67" s="40"/>
      <c r="J67" s="154">
        <v>11.1</v>
      </c>
      <c r="K67" s="41" t="str">
        <f>VLOOKUP(J65,'Data Tables'!$A$249:$D$270,3,FALSE)</f>
        <v>lbs/ton</v>
      </c>
      <c r="L67" s="26"/>
      <c r="M67" s="26"/>
    </row>
    <row r="68" spans="1:13" ht="12.75">
      <c r="A68" s="26"/>
      <c r="B68" s="40"/>
      <c r="C68" s="41" t="s">
        <v>866</v>
      </c>
      <c r="D68" s="26"/>
      <c r="E68" s="26"/>
      <c r="F68" s="154"/>
      <c r="G68" s="41">
        <f>VLOOKUP(F65,'Data Tables'!$A$249:$E$270,5,FALSE)</f>
        <v>0</v>
      </c>
      <c r="H68" s="40"/>
      <c r="I68" s="40"/>
      <c r="J68" s="154">
        <v>0.6</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57"/>
      <c r="G69" s="458"/>
      <c r="H69" s="458"/>
      <c r="I69" s="187"/>
      <c r="J69" s="457" t="s">
        <v>380</v>
      </c>
      <c r="K69" s="458"/>
      <c r="L69" s="459"/>
      <c r="M69" s="26"/>
    </row>
    <row r="70" spans="1:13" ht="12.75">
      <c r="A70" s="26"/>
      <c r="B70" s="27" t="s">
        <v>391</v>
      </c>
      <c r="C70" s="41"/>
      <c r="D70" s="26"/>
      <c r="E70" s="26"/>
      <c r="F70" s="398">
        <f>'Calculations- All Data'!F82</f>
        <v>0</v>
      </c>
      <c r="G70" s="42" t="s">
        <v>240</v>
      </c>
      <c r="H70" s="42"/>
      <c r="I70" s="156"/>
      <c r="J70" s="398">
        <f>'Calculations- All Data'!J82</f>
        <v>6.659999999999999</v>
      </c>
      <c r="K70" s="42" t="s">
        <v>240</v>
      </c>
      <c r="L70" s="42"/>
      <c r="M70" s="26"/>
    </row>
    <row r="71" spans="1:13" ht="12.75">
      <c r="A71" s="26"/>
      <c r="B71" s="27" t="s">
        <v>472</v>
      </c>
      <c r="C71" s="41"/>
      <c r="D71" s="39"/>
      <c r="E71" s="26"/>
      <c r="F71" s="396">
        <f>'Calculations- All Data'!F83</f>
        <v>0</v>
      </c>
      <c r="G71" s="42" t="s">
        <v>240</v>
      </c>
      <c r="H71" s="42"/>
      <c r="I71" s="42"/>
      <c r="J71" s="397">
        <f>'Calculations- All Data'!J83</f>
        <v>1.3319999999999999</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7"/>
      <c r="G75" s="458"/>
      <c r="H75" s="458"/>
      <c r="I75" s="188"/>
      <c r="J75" s="457"/>
      <c r="K75" s="470"/>
      <c r="L75" s="471"/>
      <c r="M75" s="26"/>
    </row>
    <row r="76" spans="1:13" ht="12.75">
      <c r="A76" s="26"/>
      <c r="B76" s="40"/>
      <c r="C76" s="41" t="s">
        <v>341</v>
      </c>
      <c r="D76" s="26"/>
      <c r="E76" s="26"/>
      <c r="F76" s="463"/>
      <c r="G76" s="464"/>
      <c r="H76" s="464"/>
      <c r="I76" s="187"/>
      <c r="J76" s="463"/>
      <c r="K76" s="464"/>
      <c r="L76" s="465"/>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7"/>
      <c r="G80" s="458"/>
      <c r="H80" s="458"/>
      <c r="I80" s="187"/>
      <c r="J80" s="457"/>
      <c r="K80" s="458"/>
      <c r="L80" s="459"/>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50</v>
      </c>
      <c r="G85" s="27" t="s">
        <v>240</v>
      </c>
      <c r="H85" s="39"/>
      <c r="I85" s="385" t="s">
        <v>865</v>
      </c>
      <c r="J85" s="395">
        <f>'Calculations- All Data'!J98</f>
        <v>86.63</v>
      </c>
      <c r="K85" s="26" t="s">
        <v>240</v>
      </c>
      <c r="L85" s="26"/>
      <c r="M85" s="26"/>
    </row>
    <row r="86" spans="1:13" ht="13.5" thickBot="1">
      <c r="A86" s="253" t="s">
        <v>573</v>
      </c>
      <c r="B86" s="26"/>
      <c r="C86" s="26"/>
      <c r="D86" s="26"/>
      <c r="E86" s="252"/>
      <c r="F86" s="399">
        <f>'Calculations- All Data'!F99</f>
        <v>50</v>
      </c>
      <c r="G86" s="27" t="s">
        <v>240</v>
      </c>
      <c r="H86" s="39"/>
      <c r="I86" s="385" t="s">
        <v>865</v>
      </c>
      <c r="J86" s="395">
        <f>'Calculations- All Data'!J99</f>
        <v>57.326</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5"/>
      <c r="E93" s="438"/>
      <c r="F93" s="438"/>
      <c r="G93" s="438"/>
      <c r="H93" s="438"/>
      <c r="I93" s="438"/>
      <c r="J93" s="438"/>
      <c r="K93" s="438"/>
      <c r="L93" s="443"/>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7" t="s">
        <v>728</v>
      </c>
      <c r="G100" s="470"/>
      <c r="H100" s="470"/>
      <c r="I100" s="470"/>
      <c r="J100" s="471"/>
      <c r="K100" s="213"/>
      <c r="L100" s="26"/>
      <c r="M100" s="26"/>
    </row>
    <row r="101" spans="1:13" ht="12.75">
      <c r="A101" s="136" t="s">
        <v>347</v>
      </c>
      <c r="B101" s="40" t="s">
        <v>344</v>
      </c>
      <c r="C101" s="26"/>
      <c r="D101" s="26"/>
      <c r="E101" s="26"/>
      <c r="F101" s="461" t="s">
        <v>268</v>
      </c>
      <c r="G101" s="467"/>
      <c r="H101" s="467"/>
      <c r="I101" s="468"/>
      <c r="J101" s="26"/>
      <c r="K101" s="26"/>
      <c r="L101" s="26"/>
      <c r="M101" s="26"/>
    </row>
    <row r="102" spans="1:13" ht="12.75">
      <c r="A102" s="136"/>
      <c r="B102" s="40"/>
      <c r="C102" s="26" t="s">
        <v>561</v>
      </c>
      <c r="D102" s="26"/>
      <c r="E102" s="26"/>
      <c r="F102" s="461" t="s">
        <v>120</v>
      </c>
      <c r="G102" s="458"/>
      <c r="H102" s="458"/>
      <c r="I102" s="459"/>
      <c r="J102" s="26"/>
      <c r="K102" s="26"/>
      <c r="L102" s="26"/>
      <c r="M102" s="26"/>
    </row>
    <row r="103" spans="1:13" ht="12.75">
      <c r="A103" s="26"/>
      <c r="B103" s="40"/>
      <c r="C103" s="41" t="s">
        <v>345</v>
      </c>
      <c r="D103" s="26"/>
      <c r="E103" s="26"/>
      <c r="F103" s="155"/>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35</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8"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150</v>
      </c>
      <c r="H112" s="43" t="s">
        <v>564</v>
      </c>
      <c r="I112" s="42"/>
      <c r="J112" s="46"/>
      <c r="K112" s="46"/>
      <c r="L112" s="26"/>
      <c r="M112" s="26"/>
    </row>
    <row r="113" spans="1:13" ht="12.75">
      <c r="A113" s="26"/>
      <c r="B113" s="26"/>
      <c r="C113" s="27" t="s">
        <v>480</v>
      </c>
      <c r="D113" s="26"/>
      <c r="E113" s="26"/>
      <c r="F113" s="26"/>
      <c r="G113" s="318">
        <f>'Calculations- All Data'!F117</f>
        <v>85</v>
      </c>
      <c r="H113" s="26" t="s">
        <v>519</v>
      </c>
      <c r="I113" s="26"/>
      <c r="J113" s="26"/>
      <c r="K113" s="26"/>
      <c r="L113" s="26"/>
      <c r="M113" s="26"/>
    </row>
    <row r="114" spans="1:13" ht="13.5" thickBot="1">
      <c r="A114" s="26"/>
      <c r="B114" s="26"/>
      <c r="C114" s="27" t="s">
        <v>481</v>
      </c>
      <c r="D114" s="26"/>
      <c r="E114" s="26"/>
      <c r="F114" s="324"/>
      <c r="G114" s="318">
        <f>'Calculations- All Data'!F118</f>
        <v>92.326</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t="str">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121.63</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81.1848</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40.4452</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18.20034</v>
      </c>
      <c r="H130" s="26" t="s">
        <v>519</v>
      </c>
      <c r="I130" s="193"/>
      <c r="J130" s="193"/>
      <c r="K130" s="193"/>
      <c r="L130" s="26"/>
      <c r="M130" s="26"/>
    </row>
    <row r="131" spans="1:13" ht="12.75" customHeight="1">
      <c r="A131" s="109"/>
      <c r="B131" s="26"/>
      <c r="C131" s="320" t="s">
        <v>852</v>
      </c>
      <c r="D131" s="40"/>
      <c r="E131" s="40"/>
      <c r="F131" s="324" t="s">
        <v>567</v>
      </c>
      <c r="G131" s="248">
        <f>'Calculations- All Data'!F134</f>
        <v>6.871980477520843</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11.328359522479158</v>
      </c>
      <c r="H133" s="26" t="s">
        <v>519</v>
      </c>
      <c r="I133" s="26"/>
      <c r="J133" s="372"/>
      <c r="K133" s="26"/>
      <c r="L133" s="26"/>
      <c r="M133" s="26"/>
    </row>
    <row r="134" spans="1:13" ht="13.5" thickBot="1">
      <c r="A134" s="109"/>
      <c r="B134" s="26"/>
      <c r="C134" s="267" t="s">
        <v>582</v>
      </c>
      <c r="D134" s="267"/>
      <c r="E134" s="267"/>
      <c r="F134" s="324" t="s">
        <v>566</v>
      </c>
      <c r="G134" s="395">
        <f>'Calculations- All Data'!F136</f>
        <v>325.12391829515184</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41"/>
      <c r="D137" s="441"/>
      <c r="E137" s="441"/>
      <c r="F137" s="441"/>
      <c r="G137" s="441"/>
      <c r="H137" s="441"/>
      <c r="I137" s="441"/>
      <c r="J137" s="441"/>
      <c r="K137" s="441"/>
      <c r="L137" s="441"/>
      <c r="M137" s="441"/>
    </row>
    <row r="138" spans="1:13" ht="12.75">
      <c r="A138" s="26"/>
      <c r="B138" s="441"/>
      <c r="C138" s="441"/>
      <c r="D138" s="441"/>
      <c r="E138" s="441"/>
      <c r="F138" s="441"/>
      <c r="G138" s="441"/>
      <c r="H138" s="441"/>
      <c r="I138" s="441"/>
      <c r="J138" s="441"/>
      <c r="K138" s="441"/>
      <c r="L138" s="441"/>
      <c r="M138" s="441"/>
    </row>
    <row r="139" spans="1:13" ht="12.75" customHeight="1">
      <c r="A139" s="26"/>
      <c r="B139" s="454" t="s">
        <v>323</v>
      </c>
      <c r="C139" s="454"/>
      <c r="D139" s="454"/>
      <c r="E139" s="454"/>
      <c r="F139" s="454"/>
      <c r="G139" s="454"/>
      <c r="H139" s="454"/>
      <c r="I139" s="454"/>
      <c r="J139" s="454"/>
      <c r="K139" s="454"/>
      <c r="L139" s="454"/>
      <c r="M139" s="454"/>
    </row>
    <row r="140" spans="1:13" ht="12.75">
      <c r="A140" s="26"/>
      <c r="B140" s="442"/>
      <c r="C140" s="442"/>
      <c r="D140" s="442"/>
      <c r="E140" s="442"/>
      <c r="F140" s="442"/>
      <c r="G140" s="442"/>
      <c r="H140" s="442"/>
      <c r="I140" s="442"/>
      <c r="J140" s="442"/>
      <c r="K140" s="442"/>
      <c r="L140" s="442"/>
      <c r="M140" s="442"/>
    </row>
    <row r="141" spans="1:13" ht="12.75" customHeight="1">
      <c r="A141" s="26"/>
      <c r="B141" s="456" t="s">
        <v>328</v>
      </c>
      <c r="C141" s="456"/>
      <c r="D141" s="456"/>
      <c r="E141" s="456"/>
      <c r="F141" s="456"/>
      <c r="G141" s="456"/>
      <c r="H141" s="456"/>
      <c r="I141" s="456"/>
      <c r="J141" s="456"/>
      <c r="K141" s="456"/>
      <c r="L141" s="456"/>
      <c r="M141" s="456"/>
    </row>
    <row r="142" spans="1:13" ht="12.75">
      <c r="A142" s="26"/>
      <c r="B142" s="149" t="s">
        <v>324</v>
      </c>
      <c r="C142" s="26"/>
      <c r="D142" s="26"/>
      <c r="E142" s="26"/>
      <c r="F142" s="42"/>
      <c r="G142" s="40"/>
      <c r="H142" s="40"/>
      <c r="I142" s="40"/>
      <c r="J142" s="26"/>
      <c r="K142" s="26"/>
      <c r="L142" s="26"/>
      <c r="M142" s="26"/>
    </row>
    <row r="143" spans="1:13" ht="24" customHeight="1">
      <c r="A143" s="26"/>
      <c r="B143" s="454" t="s">
        <v>849</v>
      </c>
      <c r="C143" s="442"/>
      <c r="D143" s="442"/>
      <c r="E143" s="442"/>
      <c r="F143" s="442"/>
      <c r="G143" s="442"/>
      <c r="H143" s="442"/>
      <c r="I143" s="442"/>
      <c r="J143" s="442"/>
      <c r="K143" s="442"/>
      <c r="L143" s="442"/>
      <c r="M143" s="442"/>
    </row>
    <row r="144" spans="2:9" s="2" customFormat="1" ht="12.75">
      <c r="B144" s="387"/>
      <c r="F144" s="45"/>
      <c r="G144" s="3"/>
      <c r="H144" s="3"/>
      <c r="I144" s="3"/>
    </row>
    <row r="145" spans="1:13" ht="37.5" customHeight="1">
      <c r="A145" s="449" t="s">
        <v>644</v>
      </c>
      <c r="B145" s="442"/>
      <c r="C145" s="442"/>
      <c r="D145" s="442"/>
      <c r="E145" s="442"/>
      <c r="F145" s="442"/>
      <c r="G145" s="442"/>
      <c r="H145" s="442"/>
      <c r="I145" s="442"/>
      <c r="J145" s="442"/>
      <c r="K145" s="442"/>
      <c r="L145" s="442"/>
      <c r="M145" s="442"/>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37" t="s">
        <v>296</v>
      </c>
      <c r="G148" s="438"/>
      <c r="H148" s="438"/>
      <c r="I148" s="438"/>
      <c r="J148" s="438"/>
      <c r="K148" s="255"/>
      <c r="L148" s="99"/>
      <c r="M148" s="99"/>
    </row>
    <row r="149" spans="1:13" s="97" customFormat="1" ht="22.5" customHeight="1">
      <c r="A149" s="205"/>
      <c r="B149" s="99"/>
      <c r="C149" s="99"/>
      <c r="D149" s="99"/>
      <c r="E149" s="263" t="s">
        <v>397</v>
      </c>
      <c r="F149" s="437"/>
      <c r="G149" s="438"/>
      <c r="H149" s="438"/>
      <c r="I149" s="438"/>
      <c r="J149" s="438"/>
      <c r="K149" s="256"/>
      <c r="L149" s="99"/>
      <c r="M149" s="99"/>
    </row>
    <row r="150" spans="1:13" s="97" customFormat="1" ht="22.5" customHeight="1">
      <c r="A150" s="205"/>
      <c r="B150" s="99"/>
      <c r="C150" s="99"/>
      <c r="D150" s="99"/>
      <c r="E150" s="263" t="s">
        <v>397</v>
      </c>
      <c r="F150" s="437"/>
      <c r="G150" s="438"/>
      <c r="H150" s="438"/>
      <c r="I150" s="438"/>
      <c r="J150" s="438"/>
      <c r="K150" s="256"/>
      <c r="L150" s="99"/>
      <c r="M150" s="99"/>
    </row>
    <row r="151" spans="1:13" s="97" customFormat="1" ht="22.5" customHeight="1">
      <c r="A151" s="205"/>
      <c r="B151" s="99"/>
      <c r="C151" s="99"/>
      <c r="D151" s="99"/>
      <c r="E151" s="263" t="s">
        <v>397</v>
      </c>
      <c r="F151" s="437"/>
      <c r="G151" s="438"/>
      <c r="H151" s="438"/>
      <c r="I151" s="438"/>
      <c r="J151" s="438"/>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28.7</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37"/>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37"/>
      <c r="G157" s="438"/>
      <c r="H157" s="438"/>
      <c r="I157" s="438"/>
      <c r="J157" s="443"/>
      <c r="K157" s="256"/>
      <c r="L157" s="99"/>
      <c r="M157" s="99"/>
    </row>
    <row r="158" spans="1:13" s="97" customFormat="1" ht="22.5" customHeight="1">
      <c r="A158" s="205"/>
      <c r="B158" s="444" t="s">
        <v>397</v>
      </c>
      <c r="C158" s="444"/>
      <c r="D158" s="444"/>
      <c r="E158" s="445"/>
      <c r="F158" s="446"/>
      <c r="G158" s="447"/>
      <c r="H158" s="447"/>
      <c r="I158" s="447"/>
      <c r="J158" s="447"/>
      <c r="K158" s="255"/>
      <c r="L158" s="99"/>
      <c r="M158" s="99"/>
    </row>
    <row r="159" spans="1:13" s="97" customFormat="1" ht="12.75" customHeight="1">
      <c r="A159" s="205"/>
      <c r="B159" s="99"/>
      <c r="C159" s="99"/>
      <c r="D159" s="99"/>
      <c r="E159" s="206"/>
      <c r="F159" s="450"/>
      <c r="G159" s="451"/>
      <c r="H159" s="451"/>
      <c r="I159" s="451"/>
      <c r="J159" s="451"/>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81.28097957378797</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2" t="s">
        <v>538</v>
      </c>
      <c r="C168" s="453"/>
      <c r="D168" s="453"/>
      <c r="E168" s="453"/>
      <c r="F168" s="453"/>
      <c r="G168" s="453"/>
      <c r="H168" s="453"/>
      <c r="I168" s="453"/>
      <c r="J168" s="453"/>
      <c r="K168" s="453"/>
      <c r="L168" s="453"/>
      <c r="M168" s="453"/>
    </row>
    <row r="169" spans="1:13" ht="24" customHeight="1">
      <c r="A169" s="26"/>
      <c r="B169" s="440" t="s">
        <v>725</v>
      </c>
      <c r="C169" s="442"/>
      <c r="D169" s="442"/>
      <c r="E169" s="442"/>
      <c r="F169" s="442"/>
      <c r="G169" s="442"/>
      <c r="H169" s="442"/>
      <c r="I169" s="442"/>
      <c r="J169" s="442"/>
      <c r="K169" s="442"/>
      <c r="L169" s="442"/>
      <c r="M169" s="442"/>
    </row>
    <row r="170" spans="1:13" ht="24" customHeight="1">
      <c r="A170" s="26"/>
      <c r="B170" s="440" t="s">
        <v>721</v>
      </c>
      <c r="C170" s="442"/>
      <c r="D170" s="442"/>
      <c r="E170" s="442"/>
      <c r="F170" s="442"/>
      <c r="G170" s="442"/>
      <c r="H170" s="442"/>
      <c r="I170" s="442"/>
      <c r="J170" s="442"/>
      <c r="K170" s="442"/>
      <c r="L170" s="442"/>
      <c r="M170" s="442"/>
    </row>
    <row r="171" spans="2:6" s="2" customFormat="1" ht="12.75">
      <c r="B171" s="153"/>
      <c r="F171" s="388"/>
    </row>
    <row r="172" spans="1:13" s="2" customFormat="1" ht="36.75" customHeight="1">
      <c r="A172" s="448" t="s">
        <v>645</v>
      </c>
      <c r="B172" s="448"/>
      <c r="C172" s="448"/>
      <c r="D172" s="448"/>
      <c r="E172" s="448"/>
      <c r="F172" s="448"/>
      <c r="G172" s="448"/>
      <c r="H172" s="448"/>
      <c r="I172" s="448"/>
      <c r="J172" s="448"/>
      <c r="K172" s="448"/>
      <c r="L172" s="448"/>
      <c r="M172" s="448"/>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81.28097957378797</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76.48540177893447</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76</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68</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41"/>
      <c r="D183" s="441"/>
      <c r="E183" s="441"/>
      <c r="F183" s="441"/>
      <c r="G183" s="441"/>
      <c r="H183" s="441"/>
      <c r="I183" s="441"/>
      <c r="J183" s="441"/>
      <c r="K183" s="441"/>
      <c r="L183" s="441"/>
      <c r="M183" s="441"/>
    </row>
    <row r="184" spans="1:13" ht="23.25" customHeight="1">
      <c r="A184" s="26"/>
      <c r="B184" s="440" t="s">
        <v>487</v>
      </c>
      <c r="C184" s="441"/>
      <c r="D184" s="441"/>
      <c r="E184" s="441"/>
      <c r="F184" s="441"/>
      <c r="G184" s="441"/>
      <c r="H184" s="441"/>
      <c r="I184" s="441"/>
      <c r="J184" s="441"/>
      <c r="K184" s="441"/>
      <c r="L184" s="441"/>
      <c r="M184" s="441"/>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F75:H75"/>
    <mergeCell ref="F13:I13"/>
    <mergeCell ref="L19:L20"/>
    <mergeCell ref="B21:D21"/>
    <mergeCell ref="F23:L23"/>
    <mergeCell ref="F22:I22"/>
    <mergeCell ref="F59:H59"/>
    <mergeCell ref="B31:M32"/>
    <mergeCell ref="J54:L54"/>
    <mergeCell ref="F6:I6"/>
    <mergeCell ref="F10:I10"/>
    <mergeCell ref="F11:K11"/>
    <mergeCell ref="F12:I12"/>
    <mergeCell ref="F7:K7"/>
    <mergeCell ref="J69:L69"/>
    <mergeCell ref="B26:L26"/>
    <mergeCell ref="B33:M35"/>
    <mergeCell ref="F28:I28"/>
    <mergeCell ref="B42:E42"/>
    <mergeCell ref="F101:I101"/>
    <mergeCell ref="F47:H47"/>
    <mergeCell ref="J47:L47"/>
    <mergeCell ref="F100:J100"/>
    <mergeCell ref="J65:L65"/>
    <mergeCell ref="J75:L75"/>
    <mergeCell ref="F80:H80"/>
    <mergeCell ref="J64:L64"/>
    <mergeCell ref="F69:H69"/>
    <mergeCell ref="F65:H65"/>
    <mergeCell ref="J80:L80"/>
    <mergeCell ref="F54:H54"/>
    <mergeCell ref="F55:H55"/>
    <mergeCell ref="J76:L76"/>
    <mergeCell ref="B38:E38"/>
    <mergeCell ref="G38:L38"/>
    <mergeCell ref="G41:L41"/>
    <mergeCell ref="B39:E39"/>
    <mergeCell ref="B40:E40"/>
    <mergeCell ref="F76:H76"/>
    <mergeCell ref="A46:M46"/>
    <mergeCell ref="J59:L59"/>
    <mergeCell ref="F155:J155"/>
    <mergeCell ref="F148:J148"/>
    <mergeCell ref="F102:I102"/>
    <mergeCell ref="B139:M140"/>
    <mergeCell ref="A109:M109"/>
    <mergeCell ref="F150:J150"/>
    <mergeCell ref="F151:J151"/>
    <mergeCell ref="J55:L55"/>
    <mergeCell ref="A145:M145"/>
    <mergeCell ref="A3:M3"/>
    <mergeCell ref="A4:M4"/>
    <mergeCell ref="B169:M169"/>
    <mergeCell ref="F159:J159"/>
    <mergeCell ref="B168:M168"/>
    <mergeCell ref="B143:M143"/>
    <mergeCell ref="D93:L93"/>
    <mergeCell ref="B141:M141"/>
    <mergeCell ref="F64:H64"/>
    <mergeCell ref="F149:J149"/>
    <mergeCell ref="B19:K20"/>
    <mergeCell ref="B183:M183"/>
    <mergeCell ref="B184:M184"/>
    <mergeCell ref="B170:M170"/>
    <mergeCell ref="F157:J157"/>
    <mergeCell ref="B158:E158"/>
    <mergeCell ref="F158:J158"/>
    <mergeCell ref="A172:M172"/>
    <mergeCell ref="B137:M138"/>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42958</v>
      </c>
      <c r="G4" s="537"/>
      <c r="H4" s="537"/>
      <c r="I4" s="538"/>
      <c r="J4" s="317"/>
      <c r="K4" s="317"/>
      <c r="L4" s="317"/>
      <c r="M4" s="317"/>
    </row>
    <row r="5" spans="1:13" ht="12.75">
      <c r="A5" s="317"/>
      <c r="B5" s="317"/>
      <c r="C5" s="317"/>
      <c r="D5" s="317" t="s">
        <v>550</v>
      </c>
      <c r="E5" s="317"/>
      <c r="F5" s="539" t="str">
        <f>'CREDIT CALCULATION FORM'!F7:K7</f>
        <v>London P 2,3,11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2"/>
      <c r="D36" s="442"/>
      <c r="E36" s="442"/>
      <c r="F36" s="442"/>
      <c r="G36" s="442"/>
      <c r="H36" s="442"/>
      <c r="I36" s="442"/>
      <c r="J36" s="442"/>
      <c r="K36" s="442"/>
      <c r="L36" s="442"/>
      <c r="M36" s="442"/>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Grass, for hay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28.7</v>
      </c>
      <c r="G43" s="122"/>
      <c r="H43" s="122"/>
      <c r="I43" s="122"/>
      <c r="J43" s="120"/>
      <c r="K43" s="120"/>
      <c r="L43" s="110"/>
      <c r="M43" s="110"/>
    </row>
    <row r="44" spans="1:13" ht="12.75">
      <c r="A44" s="110"/>
      <c r="B44" s="506" t="s">
        <v>4</v>
      </c>
      <c r="C44" s="506"/>
      <c r="D44" s="506"/>
      <c r="E44" s="506"/>
      <c r="F44" s="215">
        <f>'CREDIT CALCULATION FORM'!G40</f>
        <v>3</v>
      </c>
      <c r="G44" s="126" t="str">
        <f>CONCATENATE(VLOOKUP(F40,'Data Tables'!A4:C78,3,FALSE),B220)</f>
        <v>ton per acre</v>
      </c>
      <c r="H44" s="110"/>
      <c r="I44" s="122"/>
      <c r="J44" s="120" t="s">
        <v>837</v>
      </c>
      <c r="K44" s="356" t="s">
        <v>830</v>
      </c>
      <c r="L44" s="365" t="s">
        <v>831</v>
      </c>
      <c r="M44" s="110"/>
    </row>
    <row r="45" spans="1:13" ht="12.75">
      <c r="A45" s="110"/>
      <c r="B45" s="122" t="s">
        <v>593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50</v>
      </c>
      <c r="G56" s="117" t="s">
        <v>240</v>
      </c>
      <c r="H56" s="117"/>
      <c r="I56" s="117"/>
      <c r="J56" s="101">
        <f>'CREDIT CALCULATION FORM'!J50</f>
        <v>50</v>
      </c>
      <c r="K56" s="117" t="s">
        <v>240</v>
      </c>
      <c r="L56" s="117"/>
      <c r="M56" s="110"/>
    </row>
    <row r="57" spans="1:13" ht="12.75">
      <c r="A57" s="110"/>
      <c r="B57" s="131" t="s">
        <v>474</v>
      </c>
      <c r="C57" s="119"/>
      <c r="D57" s="116"/>
      <c r="E57" s="110"/>
      <c r="F57" s="247">
        <f>F56</f>
        <v>50</v>
      </c>
      <c r="G57" s="119" t="s">
        <v>240</v>
      </c>
      <c r="H57" s="117"/>
      <c r="I57" s="117"/>
      <c r="J57" s="247">
        <f>J56</f>
        <v>50</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t="str">
        <f>'CREDIT CALCULATION FORM'!J54:M54</f>
        <v>Spring or summer</v>
      </c>
      <c r="K60" s="507"/>
      <c r="L60" s="508"/>
      <c r="M60" s="110"/>
    </row>
    <row r="61" spans="1:13" ht="12.75">
      <c r="A61" s="110"/>
      <c r="B61" s="117"/>
      <c r="C61" s="119" t="s">
        <v>87</v>
      </c>
      <c r="D61" s="110"/>
      <c r="E61" s="110"/>
      <c r="F61" s="509">
        <f>'CREDIT CALCULATION FORM'!F55:I55</f>
        <v>0</v>
      </c>
      <c r="G61" s="510"/>
      <c r="H61" s="510"/>
      <c r="I61" s="189"/>
      <c r="J61" s="509" t="str">
        <f>'CREDIT CALCULATION FORM'!J55:M55</f>
        <v>Beef- Cow and Calf</v>
      </c>
      <c r="K61" s="510"/>
      <c r="L61" s="511"/>
      <c r="M61" s="110"/>
    </row>
    <row r="62" spans="1:13" ht="12.75">
      <c r="A62" s="110"/>
      <c r="B62" s="117"/>
      <c r="C62" s="119" t="s">
        <v>247</v>
      </c>
      <c r="D62" s="110"/>
      <c r="E62" s="110"/>
      <c r="F62" s="101">
        <f>'CREDIT CALCULATION FORM'!F56</f>
        <v>0</v>
      </c>
      <c r="G62" s="119"/>
      <c r="H62" s="117"/>
      <c r="I62" s="117"/>
      <c r="J62" s="101" t="str">
        <f>'CREDIT CALCULATION FORM'!J56</f>
        <v>Yes</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11.1</v>
      </c>
      <c r="K63" s="117" t="str">
        <f>'CREDIT CALCULATION FORM'!K57</f>
        <v>lbs/ton</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11</v>
      </c>
      <c r="K64" s="117" t="str">
        <f>'CREDIT CALCULATION FORM'!K57</f>
        <v>lbs/ton</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2.7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t="str">
        <f>'CREDIT CALCULATION FORM'!J59:M59</f>
        <v>No incorporation</v>
      </c>
      <c r="K66" s="501"/>
      <c r="L66" s="513"/>
      <c r="M66" s="110"/>
    </row>
    <row r="67" spans="1:13" ht="12.75">
      <c r="A67" s="110"/>
      <c r="B67" s="117"/>
      <c r="C67" s="119"/>
      <c r="D67" s="110" t="s">
        <v>263</v>
      </c>
      <c r="E67" s="110"/>
      <c r="F67" s="512" t="str">
        <f>CONCATENATE(F60,F66)</f>
        <v>00</v>
      </c>
      <c r="G67" s="501"/>
      <c r="H67" s="501"/>
      <c r="I67" s="189"/>
      <c r="J67" s="512" t="str">
        <f>CONCATENATE(J60,J66)</f>
        <v>Spring or summerNo incorporation</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475</v>
      </c>
      <c r="C69" s="119"/>
      <c r="D69" s="110"/>
      <c r="E69" s="110"/>
      <c r="F69" s="247">
        <f>IF(F62="Yes",F65*F63,F65*F64)</f>
        <v>0</v>
      </c>
      <c r="G69" s="117" t="s">
        <v>240</v>
      </c>
      <c r="H69" s="117"/>
      <c r="I69" s="117"/>
      <c r="J69" s="247">
        <f>IF(J62="Yes",J65*J63,J65*J64)</f>
        <v>29.970000000000002</v>
      </c>
      <c r="K69" s="117" t="s">
        <v>240</v>
      </c>
      <c r="L69" s="117"/>
      <c r="M69" s="110"/>
    </row>
    <row r="70" spans="1:13" ht="12.75">
      <c r="A70" s="110"/>
      <c r="B70" s="131" t="s">
        <v>473</v>
      </c>
      <c r="C70" s="119"/>
      <c r="D70" s="116"/>
      <c r="E70" s="110"/>
      <c r="F70" s="247">
        <f>F68*F69</f>
        <v>0</v>
      </c>
      <c r="G70" s="119" t="s">
        <v>240</v>
      </c>
      <c r="H70" s="117"/>
      <c r="I70" s="117"/>
      <c r="J70" s="247">
        <f>J68*J69</f>
        <v>5.994000000000001</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t="str">
        <f>'CREDIT CALCULATION FORM'!J64:M64</f>
        <v>Early fall</v>
      </c>
      <c r="K73" s="507"/>
      <c r="L73" s="508"/>
      <c r="M73" s="110"/>
    </row>
    <row r="74" spans="1:13" ht="12.75">
      <c r="A74" s="110"/>
      <c r="B74" s="117"/>
      <c r="C74" s="119" t="s">
        <v>87</v>
      </c>
      <c r="D74" s="110"/>
      <c r="E74" s="110"/>
      <c r="F74" s="509">
        <f>'CREDIT CALCULATION FORM'!F65</f>
        <v>0</v>
      </c>
      <c r="G74" s="510"/>
      <c r="H74" s="510"/>
      <c r="I74" s="189"/>
      <c r="J74" s="509" t="str">
        <f>'CREDIT CALCULATION FORM'!J65</f>
        <v>Beef- Cow and Calf</v>
      </c>
      <c r="K74" s="510"/>
      <c r="L74" s="511"/>
      <c r="M74" s="110"/>
    </row>
    <row r="75" spans="1:13" ht="12.75">
      <c r="A75" s="110"/>
      <c r="B75" s="117"/>
      <c r="C75" s="119" t="s">
        <v>247</v>
      </c>
      <c r="D75" s="110"/>
      <c r="E75" s="110"/>
      <c r="F75" s="101">
        <f>'CREDIT CALCULATION FORM'!F66</f>
        <v>0</v>
      </c>
      <c r="G75" s="119"/>
      <c r="H75" s="117"/>
      <c r="I75" s="117"/>
      <c r="J75" s="101" t="str">
        <f>'CREDIT CALCULATION FORM'!J66</f>
        <v>Yes</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11.1</v>
      </c>
      <c r="K76" s="117" t="str">
        <f>'CREDIT CALCULATION FORM'!K67</f>
        <v>lbs/ton</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11</v>
      </c>
      <c r="K77" s="117" t="str">
        <f>'CREDIT CALCULATION FORM'!K67</f>
        <v>lbs/ton</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0.6</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t="str">
        <f>'CREDIT CALCULATION FORM'!J69</f>
        <v>No incorporation</v>
      </c>
      <c r="K79" s="501"/>
      <c r="L79" s="513"/>
      <c r="M79" s="110"/>
    </row>
    <row r="80" spans="1:13" ht="12.75">
      <c r="A80" s="110"/>
      <c r="B80" s="117"/>
      <c r="C80" s="119"/>
      <c r="D80" s="110" t="s">
        <v>263</v>
      </c>
      <c r="E80" s="110"/>
      <c r="F80" s="512" t="str">
        <f>CONCATENATE(F73,F79)</f>
        <v>00</v>
      </c>
      <c r="G80" s="501"/>
      <c r="H80" s="501"/>
      <c r="I80" s="189"/>
      <c r="J80" s="512" t="str">
        <f>CONCATENATE(J73,J79)</f>
        <v>Early fallNo incorporation</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476</v>
      </c>
      <c r="C82" s="119"/>
      <c r="D82" s="110"/>
      <c r="E82" s="110"/>
      <c r="F82" s="247">
        <f>IF(F75="Yes",F78*F76,F78*F77)</f>
        <v>0</v>
      </c>
      <c r="G82" s="117" t="s">
        <v>240</v>
      </c>
      <c r="H82" s="117"/>
      <c r="I82" s="117"/>
      <c r="J82" s="247">
        <f>IF(J75="Yes",J78*J76,J78*J77)</f>
        <v>6.659999999999999</v>
      </c>
      <c r="K82" s="117" t="s">
        <v>240</v>
      </c>
      <c r="L82" s="117"/>
      <c r="M82" s="110"/>
    </row>
    <row r="83" spans="1:13" ht="12.75">
      <c r="A83" s="110"/>
      <c r="B83" s="131" t="s">
        <v>472</v>
      </c>
      <c r="C83" s="119"/>
      <c r="D83" s="116"/>
      <c r="E83" s="110"/>
      <c r="F83" s="247">
        <f>F81*F82</f>
        <v>0</v>
      </c>
      <c r="G83" s="119" t="s">
        <v>240</v>
      </c>
      <c r="H83" s="117"/>
      <c r="I83" s="117"/>
      <c r="J83" s="247">
        <f>J81*J82</f>
        <v>1.3319999999999999</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50</v>
      </c>
      <c r="G98" s="119" t="s">
        <v>240</v>
      </c>
      <c r="H98" s="191" t="s">
        <v>865</v>
      </c>
      <c r="I98" s="117"/>
      <c r="J98" s="402">
        <f>IF(SUM(J57,J69,J82,J95)=0,F98,SUM(J57,J82,J69,J95))</f>
        <v>86.63</v>
      </c>
      <c r="K98" s="110" t="s">
        <v>240</v>
      </c>
      <c r="L98" s="110"/>
      <c r="M98" s="110"/>
    </row>
    <row r="99" spans="1:13" ht="13.5" thickBot="1">
      <c r="A99" s="110"/>
      <c r="B99" s="116" t="s">
        <v>483</v>
      </c>
      <c r="C99" s="119"/>
      <c r="D99" s="110"/>
      <c r="E99" s="110"/>
      <c r="F99" s="402">
        <f>SUM(F96,F83,F70,F57)</f>
        <v>50</v>
      </c>
      <c r="G99" s="119" t="s">
        <v>240</v>
      </c>
      <c r="H99" s="191" t="s">
        <v>865</v>
      </c>
      <c r="I99" s="191"/>
      <c r="J99" s="402">
        <f>IF(SUM(J96,J83,J70,J57)=0,F99,SUM(J96,J83,J70,J57))</f>
        <v>57.326</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35</v>
      </c>
      <c r="G104" s="119" t="s">
        <v>240</v>
      </c>
      <c r="H104" s="130"/>
      <c r="I104" s="117"/>
      <c r="J104" s="110"/>
      <c r="K104" s="110"/>
      <c r="L104" s="110"/>
      <c r="M104" s="110"/>
    </row>
    <row r="105" spans="1:13" ht="12.75">
      <c r="A105" s="110"/>
      <c r="B105" s="117" t="s">
        <v>269</v>
      </c>
      <c r="C105" s="110"/>
      <c r="D105" s="110"/>
      <c r="E105" s="110"/>
      <c r="F105" s="517" t="str">
        <f>'CREDIT CALCULATION FORM'!F101</f>
        <v>NONE</v>
      </c>
      <c r="G105" s="518"/>
      <c r="H105" s="518"/>
      <c r="I105" s="519"/>
      <c r="J105" s="110"/>
      <c r="K105" s="110"/>
      <c r="L105" s="110"/>
      <c r="M105" s="110"/>
    </row>
    <row r="106" spans="1:13" ht="12.75">
      <c r="A106" s="110"/>
      <c r="B106" s="117"/>
      <c r="C106" s="110" t="s">
        <v>419</v>
      </c>
      <c r="D106" s="110"/>
      <c r="E106" s="110"/>
      <c r="F106" s="461" t="str">
        <f>'CREDIT CALCULATION FORM'!F102</f>
        <v>Hartleton </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0</v>
      </c>
      <c r="G108" s="119" t="s">
        <v>560</v>
      </c>
      <c r="H108" s="117"/>
      <c r="I108" s="117"/>
      <c r="J108" s="110"/>
      <c r="K108" s="110"/>
      <c r="L108" s="110"/>
      <c r="M108" s="110"/>
    </row>
    <row r="109" spans="1:13" ht="12.75">
      <c r="A109" s="110"/>
      <c r="B109" s="117"/>
      <c r="C109" s="119" t="s">
        <v>421</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35</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150</v>
      </c>
      <c r="G116" s="124" t="s">
        <v>337</v>
      </c>
      <c r="H116" s="122"/>
      <c r="I116" s="122"/>
      <c r="J116" s="120"/>
      <c r="K116" s="120"/>
      <c r="L116" s="110"/>
      <c r="M116" s="110"/>
    </row>
    <row r="117" spans="1:13" ht="12.75">
      <c r="A117" s="110"/>
      <c r="B117" s="110"/>
      <c r="C117" s="278" t="s">
        <v>480</v>
      </c>
      <c r="D117" s="278"/>
      <c r="E117" s="278"/>
      <c r="F117" s="424">
        <f>F99+F111</f>
        <v>85</v>
      </c>
      <c r="G117" s="117" t="s">
        <v>240</v>
      </c>
      <c r="H117" s="117"/>
      <c r="I117" s="117"/>
      <c r="J117" s="110"/>
      <c r="K117" s="110"/>
      <c r="L117" s="110"/>
      <c r="M117" s="110"/>
    </row>
    <row r="118" spans="1:15" ht="12.75" customHeight="1" thickBot="1">
      <c r="A118" s="110"/>
      <c r="B118" s="110"/>
      <c r="C118" s="278" t="s">
        <v>481</v>
      </c>
      <c r="D118" s="278"/>
      <c r="E118" s="278"/>
      <c r="F118" s="389">
        <f>F111+J99</f>
        <v>92.326</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t="str">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121.63</v>
      </c>
      <c r="G129" s="124" t="s">
        <v>240</v>
      </c>
      <c r="H129" s="122"/>
      <c r="I129" s="122"/>
      <c r="J129" s="120"/>
      <c r="K129" s="120"/>
      <c r="L129" s="110"/>
      <c r="M129" s="110"/>
    </row>
    <row r="130" spans="1:13" ht="12.75">
      <c r="A130" s="110"/>
      <c r="B130" s="124" t="s">
        <v>535</v>
      </c>
      <c r="C130" s="110"/>
      <c r="D130" s="124"/>
      <c r="E130" s="124"/>
      <c r="F130" s="424">
        <f>VLOOKUP(F40,'Data Tables'!A4:D78,4,FALSE)*F44</f>
        <v>81.1848</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40.4452</v>
      </c>
      <c r="G132" s="119" t="s">
        <v>240</v>
      </c>
      <c r="H132" s="129"/>
      <c r="I132" s="110"/>
      <c r="J132" s="110"/>
      <c r="K132" s="110"/>
      <c r="L132" s="110"/>
      <c r="M132" s="110"/>
    </row>
    <row r="133" spans="1:13" ht="12.75" customHeight="1">
      <c r="A133" s="110"/>
      <c r="B133" s="278" t="s">
        <v>843</v>
      </c>
      <c r="C133" s="117"/>
      <c r="D133" s="117"/>
      <c r="E133" s="110"/>
      <c r="F133" s="248">
        <f>F132*F48</f>
        <v>18.20034</v>
      </c>
      <c r="G133" s="119" t="s">
        <v>240</v>
      </c>
      <c r="H133" s="129"/>
      <c r="I133" s="110"/>
      <c r="J133" s="110"/>
      <c r="K133" s="110"/>
      <c r="L133" s="110"/>
      <c r="M133" s="110"/>
    </row>
    <row r="134" spans="1:13" ht="12.75" customHeight="1">
      <c r="A134" s="110"/>
      <c r="B134" s="117" t="s">
        <v>596</v>
      </c>
      <c r="C134" s="117"/>
      <c r="D134" s="117"/>
      <c r="E134" s="110"/>
      <c r="F134" s="248">
        <f>F133-(F133*(1-K45)*(1-L45))</f>
        <v>6.871980477520843</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325.12391829515184</v>
      </c>
      <c r="G136" s="119" t="s">
        <v>270</v>
      </c>
      <c r="H136" s="129"/>
      <c r="I136" s="110"/>
      <c r="J136" s="110"/>
      <c r="K136" s="110"/>
      <c r="L136" s="110"/>
      <c r="M136" s="110"/>
    </row>
    <row r="137" spans="1:13" ht="12.75" customHeight="1">
      <c r="A137" s="110"/>
      <c r="B137" s="131" t="s">
        <v>541</v>
      </c>
      <c r="C137" s="119"/>
      <c r="D137" s="110"/>
      <c r="E137" s="110"/>
      <c r="F137" s="403">
        <f>IF(F43=0,"0",F136/F43)</f>
        <v>11.328359522479158</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Precision Grazing</v>
      </c>
      <c r="F144" s="516"/>
      <c r="G144" s="512" t="str">
        <f>IF(OR(E144=$E$245,E144=$E$246),CONCATENATE(E144,$F$151),IF(E144="Continuous No-Till*",CONCATENATE(E144,$F$49),IF(OR(E144=$E$249,E144=$E$250,E144=$E$251,E144=$E$252),CONCATENATE(E144,$F$45),E144)))</f>
        <v>Precision Grazing</v>
      </c>
      <c r="H144" s="501"/>
      <c r="I144" s="501"/>
      <c r="J144" s="513"/>
      <c r="K144" s="103" t="str">
        <f>IF(OR(E144=$E$249,E144=$E$250,E144=$E$251,E144=$E$252),CONCATENATE($F$46,VLOOKUP(G144,'BMPs and Bay Model Data'!$D$148:$E$166,2,FALSE)),'Calculations- All Data'!G144)</f>
        <v>Precision Grazing</v>
      </c>
      <c r="L144" s="272">
        <f>IF(OR(E144=$E$249,E144=$E$250,E144=$E$251,E144=$E$252),VLOOKUP(K144,'BMPs and Bay Model Data'!$A$170:$B$351,2,FALSE),VLOOKUP(K144,'BMPs and Bay Model Data'!$C$36:$D$57,2,FALSE))</f>
        <v>0.25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28.7</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81.28097957378797</v>
      </c>
      <c r="G153" s="120" t="s">
        <v>270</v>
      </c>
      <c r="H153" s="122"/>
      <c r="I153" s="211"/>
      <c r="J153" s="254"/>
      <c r="K153" s="254"/>
      <c r="L153" s="120"/>
      <c r="M153" s="120"/>
    </row>
    <row r="154" spans="1:13" ht="12.75">
      <c r="A154" s="110"/>
      <c r="B154" s="110"/>
      <c r="C154" s="110"/>
      <c r="D154" s="141" t="s">
        <v>520</v>
      </c>
      <c r="E154" s="212"/>
      <c r="F154" s="281">
        <f>IF(F43=0,"0",(F136-F153)/F43)</f>
        <v>8.496269641859367</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81.28097957378797</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81.28097957378797</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76.48540177893447</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76.48540177893447</v>
      </c>
      <c r="G180" s="110" t="s">
        <v>557</v>
      </c>
      <c r="H180" s="110"/>
      <c r="I180" s="110"/>
      <c r="J180" s="110"/>
      <c r="K180" s="110"/>
      <c r="L180" s="110"/>
      <c r="M180" s="110"/>
    </row>
    <row r="181" spans="1:13" ht="13.5" thickBot="1">
      <c r="A181" s="110"/>
      <c r="B181" s="116" t="s">
        <v>533</v>
      </c>
      <c r="C181" s="415"/>
      <c r="D181" s="415"/>
      <c r="E181" s="415"/>
      <c r="F181" s="416">
        <f>ROUND(F180,0)</f>
        <v>76</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68.4</v>
      </c>
      <c r="G184" s="420" t="s">
        <v>557</v>
      </c>
      <c r="H184" s="110"/>
      <c r="I184" s="110"/>
      <c r="J184" s="110"/>
      <c r="K184" s="110"/>
      <c r="L184" s="110"/>
      <c r="M184" s="110"/>
    </row>
    <row r="185" spans="1:13" ht="15.75" thickBot="1">
      <c r="A185" s="110"/>
      <c r="B185" s="112" t="s">
        <v>531</v>
      </c>
      <c r="C185" s="421"/>
      <c r="D185" s="421"/>
      <c r="E185" s="421"/>
      <c r="F185" s="414">
        <f>ROUND(F184,0)</f>
        <v>68</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2017-08-11T19:25:13Z</dcterms:modified>
  <cp:category/>
  <cp:version/>
  <cp:contentType/>
  <cp:contentStatus/>
</cp:coreProperties>
</file>