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1340" windowHeight="883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<sst xmlns="http://schemas.openxmlformats.org/spreadsheetml/2006/main" count="1898" uniqueCount="881">
  <si>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</si>
  <si>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</si>
  <si>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</si>
  <si>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</si>
  <si>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</si>
  <si>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</si>
  <si>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</si>
  <si>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</si>
  <si>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</si>
  <si>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</si>
  <si>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</si>
  <si>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</si>
  <si>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</si>
  <si>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</si>
  <si>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</si>
  <si>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</si>
  <si>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</si>
  <si>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</si>
  <si>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</si>
  <si>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</si>
  <si>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</si>
  <si>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</si>
  <si>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</si>
  <si>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</si>
  <si>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</si>
  <si>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</si>
  <si>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</si>
  <si>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</si>
  <si>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</si>
  <si>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</si>
  <si>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</si>
  <si>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</si>
  <si>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</si>
  <si>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</si>
  <si>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</si>
  <si>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</si>
  <si>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</si>
  <si>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</si>
  <si>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</si>
  <si>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</si>
  <si>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</si>
  <si>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</si>
  <si>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</si>
  <si>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</si>
  <si>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</si>
  <si>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</si>
  <si>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</si>
  <si>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</si>
  <si>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</si>
  <si>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</si>
  <si>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</si>
  <si>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</si>
  <si>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</si>
  <si>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</si>
  <si>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</si>
  <si>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</si>
  <si>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</si>
  <si>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</si>
  <si>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</si>
  <si>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</si>
  <si>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</si>
  <si>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</si>
  <si>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</si>
  <si>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</si>
  <si>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</si>
  <si>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</si>
  <si>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</si>
  <si>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</si>
  <si>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</si>
  <si>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</si>
  <si>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</si>
  <si>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</si>
  <si>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</si>
  <si>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</si>
  <si>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</si>
  <si>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</si>
  <si>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</si>
  <si>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</si>
  <si>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</si>
  <si>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</si>
  <si>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</si>
  <si>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</si>
  <si>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</si>
  <si>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</si>
  <si>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</si>
  <si>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</si>
  <si>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</si>
  <si>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</si>
  <si>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</si>
  <si>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</si>
  <si>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</si>
  <si>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</si>
  <si>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</si>
  <si>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</si>
  <si>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</si>
  <si>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</si>
  <si>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</si>
  <si>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</si>
  <si>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</si>
  <si>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</si>
  <si>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</si>
  <si>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</si>
  <si>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</si>
  <si>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</si>
  <si>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</si>
  <si>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</si>
  <si>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</si>
  <si>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</si>
  <si>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</si>
  <si>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</si>
  <si>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</si>
  <si>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</si>
  <si>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</si>
  <si>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</si>
  <si>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</si>
  <si>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</si>
  <si>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</si>
  <si>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</si>
  <si>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</si>
  <si>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</si>
  <si>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</si>
  <si>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</si>
  <si>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</si>
  <si>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</si>
  <si>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</si>
  <si>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</si>
  <si>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</si>
  <si>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</si>
  <si>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</si>
  <si>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</si>
  <si>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</si>
  <si>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</si>
  <si>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</si>
  <si>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</si>
  <si>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</si>
  <si>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</si>
  <si>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</si>
  <si>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</si>
  <si>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</si>
  <si>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</si>
  <si>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</si>
  <si>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</si>
  <si>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</si>
  <si>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</si>
  <si>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</si>
  <si>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</si>
  <si>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</si>
  <si>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</si>
  <si>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</si>
  <si>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</si>
  <si>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</si>
  <si>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</si>
  <si>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</si>
  <si>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</si>
  <si>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</si>
  <si>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</si>
  <si>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</si>
  <si>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</si>
  <si>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</si>
  <si>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</si>
  <si>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</si>
  <si>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</si>
  <si>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</si>
  <si>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</si>
  <si>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</si>
  <si>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</si>
  <si>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</si>
  <si>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</si>
  <si>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</si>
  <si>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</si>
  <si>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</si>
  <si>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</si>
  <si>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</si>
  <si>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</si>
  <si>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</si>
  <si>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</si>
  <si>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</si>
  <si>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</si>
  <si>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</si>
  <si>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</si>
  <si>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</si>
  <si>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</si>
  <si>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</si>
  <si>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</si>
  <si>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</si>
  <si>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</si>
  <si>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</si>
  <si>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</si>
  <si>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</si>
  <si>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</si>
  <si>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</si>
  <si>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</si>
  <si>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</si>
  <si>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</si>
  <si>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</si>
  <si>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</si>
  <si>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</si>
  <si>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</si>
  <si>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</si>
  <si>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</si>
  <si>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</si>
  <si>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</si>
  <si>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</si>
  <si>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</si>
  <si>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</si>
  <si>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</si>
  <si>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</si>
  <si>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</si>
  <si>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</si>
  <si>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</si>
  <si>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</si>
  <si>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</si>
  <si>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</si>
  <si>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</si>
  <si>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</si>
  <si>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</si>
  <si>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</si>
  <si>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</si>
  <si>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</si>
  <si>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</si>
  <si>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</si>
  <si>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</si>
  <si>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</si>
  <si>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</si>
  <si>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</si>
  <si>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</si>
  <si>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</si>
  <si>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</si>
  <si>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</si>
  <si>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</si>
  <si>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</si>
  <si>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</si>
  <si>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</si>
  <si>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</si>
  <si>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</si>
  <si>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</si>
  <si>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</si>
  <si>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</si>
  <si>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</si>
  <si>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</si>
  <si>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</si>
  <si>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</si>
  <si>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</si>
  <si>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</si>
  <si>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</si>
  <si>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</si>
  <si>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</si>
  <si>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</si>
  <si>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</si>
  <si>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</si>
  <si>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</si>
  <si>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</si>
  <si>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</si>
  <si>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</si>
  <si>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</si>
  <si>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</si>
  <si>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</si>
  <si>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</si>
  <si>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</si>
  <si>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</si>
  <si>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</si>
  <si>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</si>
  <si>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</si>
  <si>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</si>
  <si>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</si>
  <si>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</si>
  <si>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</si>
  <si>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</si>
  <si>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</si>
  <si>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</si>
  <si>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</si>
  <si>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</si>
  <si>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</si>
  <si>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</si>
  <si>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</si>
  <si>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</si>
  <si>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</si>
  <si>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</si>
  <si>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</si>
  <si>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</si>
  <si>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</si>
  <si>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</si>
  <si>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</si>
  <si>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</si>
  <si>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</si>
  <si>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</si>
  <si>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</si>
  <si>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</si>
  <si>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</si>
  <si>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</si>
  <si>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</si>
  <si>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</si>
  <si>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</si>
  <si>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</si>
  <si>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</si>
  <si>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</si>
  <si>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</si>
  <si>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</si>
  <si>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</si>
  <si>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</si>
  <si>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</si>
  <si>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</si>
  <si>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</si>
  <si>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</si>
  <si>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</si>
  <si>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</si>
  <si>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</si>
  <si>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</si>
  <si>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</si>
  <si>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</si>
  <si>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</si>
  <si>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</si>
  <si>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</si>
  <si>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</si>
  <si>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</si>
  <si>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</si>
  <si>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</si>
  <si>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</si>
  <si>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</si>
  <si>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</si>
  <si>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</si>
  <si>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</si>
  <si>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</si>
  <si>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</si>
  <si>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</si>
  <si>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</si>
  <si>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</si>
  <si>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</si>
  <si>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</si>
  <si>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</si>
  <si>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</si>
  <si>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</si>
  <si>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</si>
  <si>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</si>
  <si>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</si>
  <si>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</si>
  <si>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</si>
  <si>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</si>
  <si>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</si>
  <si>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</si>
  <si>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</si>
  <si>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</si>
  <si>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</si>
  <si>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</si>
  <si>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</si>
  <si>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</si>
  <si>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</si>
  <si>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</si>
  <si>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</si>
  <si>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</si>
  <si>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</si>
  <si>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</si>
  <si>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</si>
  <si>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</si>
  <si>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</si>
  <si>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</si>
  <si>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</si>
  <si>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</si>
  <si>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</si>
  <si>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</si>
  <si>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</si>
  <si>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</si>
  <si>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</si>
  <si>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</si>
  <si>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</si>
  <si>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</si>
  <si>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</si>
  <si>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</si>
  <si>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</si>
  <si>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</si>
  <si>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</si>
  <si>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</si>
  <si>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</si>
  <si>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</si>
  <si>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</si>
  <si>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</si>
  <si>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</si>
  <si>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</si>
  <si>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</si>
  <si>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</si>
  <si>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</si>
  <si>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</si>
  <si>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</si>
  <si>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</si>
  <si>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</si>
  <si>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</si>
  <si>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</si>
  <si>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</si>
  <si>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</si>
  <si>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</si>
  <si>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</si>
  <si>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</si>
  <si>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</si>
  <si>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</si>
  <si>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</si>
  <si>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</si>
  <si>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</si>
  <si>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</si>
  <si>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</si>
  <si>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</si>
  <si>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</si>
  <si>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</si>
  <si>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</si>
  <si>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</si>
  <si>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</si>
  <si>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</si>
  <si>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</si>
  <si>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</si>
  <si>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</si>
  <si>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</si>
  <si>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</si>
  <si>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</si>
  <si>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</si>
  <si>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</si>
  <si>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</si>
  <si>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</si>
  <si>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</si>
  <si>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</si>
  <si>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</si>
  <si>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</si>
  <si>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</si>
  <si>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</si>
  <si>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</si>
  <si>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</si>
  <si>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</si>
  <si>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</si>
  <si>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</si>
  <si>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</si>
  <si>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</si>
  <si>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</si>
  <si>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</si>
  <si>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</si>
  <si>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</si>
  <si>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</si>
  <si>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</si>
  <si>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</si>
  <si>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</si>
  <si>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</si>
  <si>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</si>
  <si>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</si>
  <si>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</si>
  <si>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</si>
  <si>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</si>
  <si>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</si>
  <si>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</si>
  <si>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</si>
  <si>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</si>
  <si>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</si>
  <si>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</si>
  <si>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</si>
  <si>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</si>
  <si>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</si>
  <si>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</si>
  <si>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</si>
  <si>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</si>
  <si>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</si>
  <si>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</si>
  <si>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</si>
  <si>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</si>
  <si>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</si>
  <si>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</si>
  <si>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</si>
  <si>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</si>
  <si>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</si>
  <si>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</si>
  <si>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</si>
  <si>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</si>
  <si>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</si>
  <si>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</si>
  <si>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</si>
  <si>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</si>
  <si>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</si>
  <si>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</si>
  <si>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</si>
  <si>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</si>
  <si>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</si>
  <si>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</si>
  <si>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</si>
  <si>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</si>
  <si>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</si>
  <si>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</si>
  <si>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</si>
  <si>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</si>
  <si>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</si>
  <si>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</si>
  <si>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</si>
  <si>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</si>
  <si>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</si>
  <si>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</si>
  <si>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</si>
  <si>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</si>
  <si>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</si>
  <si>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</si>
  <si>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</si>
  <si>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</si>
  <si>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</si>
  <si>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</si>
  <si>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</si>
  <si>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</si>
  <si>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</si>
  <si>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</si>
  <si>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</si>
  <si>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</si>
  <si>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</si>
  <si>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</si>
  <si>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</si>
  <si>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</si>
  <si>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</si>
  <si>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</si>
  <si>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</si>
  <si>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</si>
  <si>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</si>
  <si>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</si>
  <si>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</si>
  <si>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</si>
  <si>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</si>
  <si>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</si>
  <si>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</si>
  <si>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</si>
  <si>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</si>
  <si>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</si>
  <si>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</si>
  <si>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</si>
  <si>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</si>
  <si>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</si>
  <si>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</si>
  <si>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</si>
  <si>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</si>
  <si>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</si>
  <si>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</si>
  <si>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</si>
  <si>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</si>
  <si>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</si>
  <si>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</si>
  <si>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</si>
  <si>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</si>
  <si>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</si>
  <si>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</si>
  <si>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</si>
  <si>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</si>
  <si>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</si>
  <si>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</si>
  <si>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</si>
  <si>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</si>
  <si>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</si>
  <si>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</si>
  <si>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</si>
  <si>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</si>
  <si>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</si>
  <si>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</si>
  <si>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</si>
  <si>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</si>
  <si>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</si>
  <si>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</si>
  <si>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</si>
  <si>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</si>
  <si>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</si>
  <si>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</si>
  <si>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</si>
  <si>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</si>
  <si>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</si>
  <si>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</si>
  <si>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</si>
  <si>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</si>
  <si>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</si>
  <si>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</si>
  <si>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</si>
  <si>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</si>
  <si>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</si>
  <si>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</si>
  <si>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</si>
  <si>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</si>
  <si>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</si>
  <si>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</si>
  <si>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</si>
  <si>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</si>
  <si>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</si>
  <si>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</si>
  <si>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</si>
  <si>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</si>
  <si>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</si>
  <si>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</si>
  <si>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</si>
  <si>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</si>
  <si>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</si>
  <si>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</si>
  <si>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</si>
  <si>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</si>
  <si>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</si>
  <si>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</si>
  <si>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</si>
  <si>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</si>
  <si>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</si>
  <si>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</si>
  <si>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</si>
  <si>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</si>
  <si>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</si>
  <si>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</si>
  <si>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</si>
  <si>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</si>
  <si>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</si>
  <si>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</si>
  <si>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</si>
  <si>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</si>
  <si>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</si>
  <si>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</si>
  <si>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</si>
  <si>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</si>
  <si>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</si>
  <si>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</si>
  <si>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</si>
  <si>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</si>
  <si>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</si>
  <si>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</si>
  <si>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</si>
  <si>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</si>
  <si>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</si>
  <si>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</si>
  <si>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</si>
  <si>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</si>
  <si>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</si>
  <si>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</si>
  <si>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</si>
  <si>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</si>
  <si>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</si>
  <si>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</si>
  <si>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</si>
  <si>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</si>
  <si>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</si>
  <si>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</si>
  <si>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</si>
  <si>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</si>
  <si>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</si>
  <si>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</si>
  <si>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</si>
  <si>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</si>
  <si>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</si>
  <si>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</si>
  <si>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</si>
  <si>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</si>
  <si>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</si>
  <si>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</si>
  <si>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</si>
  <si>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</si>
  <si>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</si>
  <si>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</si>
  <si>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</si>
  <si>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</si>
  <si>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</si>
  <si>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</si>
  <si>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</si>
  <si>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</si>
  <si>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</si>
  <si>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</si>
  <si>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</si>
  <si>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</si>
  <si>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</si>
  <si>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</si>
  <si>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</si>
  <si>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</si>
  <si>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</si>
  <si>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</si>
  <si>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</si>
  <si>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</si>
  <si>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</si>
  <si>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</si>
  <si>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</si>
  <si>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</si>
  <si>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</si>
  <si>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</si>
  <si>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</si>
  <si>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</si>
  <si>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</si>
  <si>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</si>
  <si>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</si>
  <si>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</si>
  <si>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</si>
  <si>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</si>
  <si>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</si>
  <si>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</si>
  <si>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</si>
  <si>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</si>
  <si>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</si>
  <si>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</si>
  <si>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</si>
  <si>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</si>
  <si>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</si>
  <si>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</si>
  <si>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</si>
  <si>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</si>
  <si>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</si>
  <si>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</si>
  <si>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</si>
  <si>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</si>
  <si>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</si>
  <si>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</si>
  <si>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</si>
  <si>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</si>
  <si>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</si>
  <si>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</si>
  <si>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</si>
  <si>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</si>
  <si>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</si>
  <si>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</si>
  <si>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</si>
  <si>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</si>
  <si>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</si>
  <si>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</si>
  <si>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</si>
  <si>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</si>
  <si>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</si>
  <si>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</si>
  <si>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</si>
  <si>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</si>
  <si>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</si>
  <si>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</si>
  <si>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</si>
  <si>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</si>
  <si>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</si>
  <si>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</si>
  <si>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</si>
  <si>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</si>
  <si>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</si>
  <si>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</si>
  <si>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</si>
  <si>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</si>
  <si>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</si>
  <si>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</si>
  <si>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</si>
  <si>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</si>
  <si>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</si>
  <si>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</si>
  <si>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</si>
  <si>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</si>
  <si>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</si>
  <si>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</si>
  <si>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</si>
  <si>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</si>
  <si>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</si>
  <si>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</si>
  <si>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</si>
  <si>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</si>
  <si>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</si>
  <si>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</si>
  <si>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</si>
  <si>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</si>
  <si>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</si>
  <si>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</si>
  <si>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</si>
  <si>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</si>
  <si>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</si>
  <si>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</si>
  <si>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</si>
  <si>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</si>
  <si>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</si>
  <si>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</si>
  <si>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</si>
  <si>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</si>
  <si>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</si>
  <si>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</si>
  <si>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</si>
  <si>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</si>
  <si>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</si>
  <si>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</si>
  <si>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</si>
  <si>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</si>
  <si>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</si>
  <si>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</si>
  <si>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</si>
  <si>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</si>
  <si>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</si>
  <si>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</si>
  <si>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</si>
  <si>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</si>
  <si>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</si>
  <si>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</si>
  <si>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</si>
  <si>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</si>
  <si>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</si>
  <si>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</si>
  <si>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</si>
  <si>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</si>
  <si>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</si>
  <si>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</si>
  <si>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</si>
  <si>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</si>
  <si>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</si>
  <si>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</si>
  <si>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</si>
  <si>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</si>
  <si>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</si>
  <si>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</si>
  <si>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</si>
  <si>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</si>
  <si>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</si>
  <si>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</si>
  <si>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</si>
  <si>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</si>
  <si>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</si>
  <si>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</si>
  <si>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</si>
  <si>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</si>
  <si>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</si>
  <si>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</si>
  <si>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</si>
  <si>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</si>
  <si>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</si>
  <si>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</si>
  <si>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</si>
  <si>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</si>
  <si>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</si>
  <si>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</si>
  <si>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</si>
  <si>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</si>
  <si>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</si>
  <si>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</si>
  <si>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</si>
  <si>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</si>
  <si>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</si>
  <si>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</si>
  <si>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</si>
  <si>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</si>
  <si>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</si>
  <si>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</si>
  <si>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</si>
  <si>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</si>
  <si>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</si>
  <si>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</si>
  <si>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</si>
  <si>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</si>
  <si>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</si>
  <si>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</si>
  <si>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</si>
  <si>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</si>
  <si>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</si>
  <si>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</si>
  <si>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</si>
  <si>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</si>
  <si>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</si>
  <si>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</si>
  <si>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</si>
  <si>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</si>
  <si>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</si>
  <si>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</si>
  <si>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</si>
  <si>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</si>
  <si>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</si>
  <si>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</si>
  <si>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</si>
  <si>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</si>
  <si>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</si>
  <si>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</si>
  <si>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</si>
  <si>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</si>
  <si>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</si>
  <si>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</si>
  <si>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</si>
  <si>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</si>
  <si>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</si>
  <si>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</si>
  <si>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</si>
  <si>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</si>
  <si>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</si>
  <si>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</si>
  <si>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</si>
  <si>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</si>
  <si>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</si>
  <si>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</si>
  <si>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</si>
  <si>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</si>
  <si>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</si>
  <si>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</si>
  <si>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</si>
  <si>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Bosch T 3675 F 1 &amp; 2</t>
  </si>
  <si>
    <t>Lycoming County Conservation District</t>
  </si>
  <si>
    <t>Rod Morehart</t>
  </si>
  <si>
    <t>570-329-1619</t>
  </si>
  <si>
    <t>rmorehart@lyco.org</t>
  </si>
  <si>
    <t>Yes</t>
  </si>
  <si>
    <t>County Conservation District</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</si>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</sst>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6" fillId="0" borderId="18" xfId="0" applyFont="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7" fillId="0" borderId="3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49" sqref="K4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43497</v>
      </c>
      <c r="G6" s="479"/>
      <c r="H6" s="479"/>
      <c r="I6" s="480"/>
      <c r="J6" s="316"/>
      <c r="K6" s="316"/>
      <c r="L6" s="316"/>
      <c r="M6" s="316"/>
    </row>
    <row r="7" spans="1:13" ht="12.75" customHeight="1">
      <c r="A7" s="316"/>
      <c r="B7" s="316"/>
      <c r="C7" s="316"/>
      <c r="D7" s="316" t="s">
        <v>578</v>
      </c>
      <c r="E7" s="316"/>
      <c r="F7" s="489" t="s">
        <v>873</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875</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876</v>
      </c>
      <c r="G12" s="487"/>
      <c r="H12" s="487"/>
      <c r="I12" s="488"/>
      <c r="J12" s="156"/>
      <c r="K12" s="156"/>
      <c r="L12" s="26"/>
      <c r="M12" s="26"/>
    </row>
    <row r="13" spans="1:13" ht="12.75">
      <c r="A13" s="39"/>
      <c r="B13" s="26"/>
      <c r="C13" s="26"/>
      <c r="D13" s="26" t="s">
        <v>558</v>
      </c>
      <c r="E13" s="26"/>
      <c r="F13" s="491" t="s">
        <v>877</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878</v>
      </c>
      <c r="C21" s="458"/>
      <c r="D21" s="459"/>
      <c r="E21" s="99"/>
      <c r="F21" s="99"/>
      <c r="G21" s="99"/>
      <c r="H21" s="99"/>
      <c r="I21" s="99"/>
      <c r="J21" s="99"/>
      <c r="K21" s="99"/>
      <c r="L21" s="100"/>
      <c r="M21" s="26"/>
    </row>
    <row r="22" spans="1:13" ht="12.75">
      <c r="A22" s="109" t="s">
        <v>375</v>
      </c>
      <c r="B22" s="40" t="s">
        <v>21</v>
      </c>
      <c r="C22" s="26"/>
      <c r="D22" s="99"/>
      <c r="E22" s="40"/>
      <c r="F22" s="460" t="s">
        <v>879</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20</v>
      </c>
      <c r="H39" s="42"/>
      <c r="I39" s="42"/>
      <c r="J39" s="42"/>
      <c r="K39" s="46"/>
      <c r="L39" s="46"/>
      <c r="M39" s="26"/>
    </row>
    <row r="40" spans="1:13" ht="12.75">
      <c r="A40" s="136" t="s">
        <v>376</v>
      </c>
      <c r="B40" s="463" t="s">
        <v>370</v>
      </c>
      <c r="C40" s="463"/>
      <c r="D40" s="463"/>
      <c r="E40" s="463"/>
      <c r="F40" s="26"/>
      <c r="G40" s="329">
        <v>190</v>
      </c>
      <c r="H40" s="48" t="str">
        <f>CONCATENATE(VLOOKUP(G38,'Data Tables'!A4:C78,3,FALSE),B257)</f>
        <v>bu per acre</v>
      </c>
      <c r="I40" s="26"/>
      <c r="J40" s="42"/>
      <c r="K40" s="46"/>
      <c r="L40" s="46"/>
      <c r="M40" s="26"/>
    </row>
    <row r="41" spans="1:13" ht="12.75">
      <c r="A41" s="136" t="s">
        <v>377</v>
      </c>
      <c r="B41" s="42" t="s">
        <v>622</v>
      </c>
      <c r="C41" s="42"/>
      <c r="D41" s="42"/>
      <c r="E41" s="42"/>
      <c r="F41" s="26"/>
      <c r="G41" s="467" t="s">
        <v>880</v>
      </c>
      <c r="H41" s="468"/>
      <c r="I41" s="468"/>
      <c r="J41" s="468"/>
      <c r="K41" s="468"/>
      <c r="L41" s="469"/>
      <c r="M41" s="26"/>
    </row>
    <row r="42" spans="1:13" ht="12.75">
      <c r="A42" s="137" t="s">
        <v>523</v>
      </c>
      <c r="B42" s="494" t="s">
        <v>438</v>
      </c>
      <c r="C42" s="495"/>
      <c r="D42" s="495"/>
      <c r="E42" s="495"/>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105</v>
      </c>
      <c r="G50" s="40" t="s">
        <v>268</v>
      </c>
      <c r="H50" s="40"/>
      <c r="I50" s="40"/>
      <c r="J50" s="154">
        <v>105</v>
      </c>
      <c r="K50" s="26"/>
      <c r="L50" s="26"/>
      <c r="M50" s="26"/>
    </row>
    <row r="51" spans="1:13" ht="12.75">
      <c r="A51" s="136" t="s">
        <v>375</v>
      </c>
      <c r="B51" s="27" t="s">
        <v>502</v>
      </c>
      <c r="C51" s="41"/>
      <c r="D51" s="39"/>
      <c r="E51" s="26"/>
      <c r="F51" s="396">
        <f>'Calculations- All Data'!F57</f>
        <v>105</v>
      </c>
      <c r="G51" s="42" t="s">
        <v>268</v>
      </c>
      <c r="H51" s="42"/>
      <c r="I51" s="42"/>
      <c r="J51" s="397">
        <f>'Calculations- All Data'!J57</f>
        <v>105</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878</v>
      </c>
      <c r="G56" s="41"/>
      <c r="H56" s="40"/>
      <c r="I56" s="40"/>
      <c r="J56" s="154" t="s">
        <v>878</v>
      </c>
      <c r="K56" s="26"/>
      <c r="L56" s="26"/>
      <c r="M56" s="26"/>
    </row>
    <row r="57" spans="1:13" ht="12.75">
      <c r="A57" s="136"/>
      <c r="B57" s="40"/>
      <c r="C57" s="41" t="s">
        <v>371</v>
      </c>
      <c r="D57" s="26"/>
      <c r="E57" s="26"/>
      <c r="F57" s="154">
        <v>35</v>
      </c>
      <c r="G57" s="41" t="str">
        <f>VLOOKUP(F55,'Data Tables'!$A$249:$D$270,3,FALSE)</f>
        <v>lbs/1000 gallons</v>
      </c>
      <c r="H57" s="26"/>
      <c r="I57" s="40"/>
      <c r="J57" s="154">
        <v>35</v>
      </c>
      <c r="K57" s="41" t="str">
        <f>VLOOKUP(J55,'Data Tables'!$A$249:$D$270,3,FALSE)</f>
        <v>lbs/1000 gallons</v>
      </c>
      <c r="L57" s="26"/>
      <c r="M57" s="26"/>
    </row>
    <row r="58" spans="1:13" ht="12.75">
      <c r="A58" s="136" t="s">
        <v>377</v>
      </c>
      <c r="B58" s="41" t="s">
        <v>15</v>
      </c>
      <c r="C58" s="26"/>
      <c r="D58" s="26"/>
      <c r="E58" s="26"/>
      <c r="F58" s="154">
        <v>5</v>
      </c>
      <c r="G58" s="41" t="str">
        <f>VLOOKUP(F55,'Data Tables'!$A$249:$E$270,5,FALSE)</f>
        <v>1000 gallons/ac</v>
      </c>
      <c r="H58" s="40"/>
      <c r="I58" s="40"/>
      <c r="J58" s="154">
        <v>5</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489</v>
      </c>
      <c r="G59" s="468"/>
      <c r="H59" s="468"/>
      <c r="I59" s="187"/>
      <c r="J59" s="467" t="s">
        <v>489</v>
      </c>
      <c r="K59" s="468"/>
      <c r="L59" s="469"/>
      <c r="M59" s="26"/>
    </row>
    <row r="60" spans="1:13" ht="12.75">
      <c r="A60" s="136" t="s">
        <v>525</v>
      </c>
      <c r="B60" s="27" t="s">
        <v>420</v>
      </c>
      <c r="C60" s="41"/>
      <c r="D60" s="26"/>
      <c r="E60" s="26"/>
      <c r="F60" s="398">
        <f>'Calculations- All Data'!F69</f>
        <v>175</v>
      </c>
      <c r="G60" s="42" t="s">
        <v>268</v>
      </c>
      <c r="H60" s="42"/>
      <c r="I60" s="156"/>
      <c r="J60" s="398">
        <f>'Calculations- All Data'!J69</f>
        <v>175</v>
      </c>
      <c r="K60" s="42" t="s">
        <v>268</v>
      </c>
      <c r="L60" s="42"/>
      <c r="M60" s="26"/>
    </row>
    <row r="61" spans="1:13" ht="12.75">
      <c r="A61" s="136" t="s">
        <v>524</v>
      </c>
      <c r="B61" s="27" t="s">
        <v>501</v>
      </c>
      <c r="C61" s="41"/>
      <c r="D61" s="39"/>
      <c r="E61" s="26"/>
      <c r="F61" s="396">
        <f>'Calculations- All Data'!F70</f>
        <v>35</v>
      </c>
      <c r="G61" s="42" t="s">
        <v>268</v>
      </c>
      <c r="H61" s="42"/>
      <c r="I61" s="42"/>
      <c r="J61" s="397">
        <f>'Calculations- All Data'!J70</f>
        <v>35</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280</v>
      </c>
      <c r="G85" s="27" t="s">
        <v>268</v>
      </c>
      <c r="H85" s="39"/>
      <c r="I85" s="385" t="s">
        <v>14</v>
      </c>
      <c r="J85" s="395">
        <f>'Calculations- All Data'!J98</f>
        <v>280</v>
      </c>
      <c r="K85" s="26" t="s">
        <v>268</v>
      </c>
      <c r="L85" s="26"/>
      <c r="M85" s="26"/>
    </row>
    <row r="86" spans="1:13" ht="13.5" thickBot="1">
      <c r="A86" s="253" t="s">
        <v>601</v>
      </c>
      <c r="B86" s="26"/>
      <c r="C86" s="26"/>
      <c r="D86" s="26"/>
      <c r="E86" s="252"/>
      <c r="F86" s="399">
        <f>'Calculations- All Data'!F99</f>
        <v>140</v>
      </c>
      <c r="G86" s="27" t="s">
        <v>268</v>
      </c>
      <c r="H86" s="39"/>
      <c r="I86" s="385" t="s">
        <v>14</v>
      </c>
      <c r="J86" s="395">
        <f>'Calculations- All Data'!J99</f>
        <v>140</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749</v>
      </c>
      <c r="G100" s="476"/>
      <c r="H100" s="476"/>
      <c r="I100" s="476"/>
      <c r="J100" s="477"/>
      <c r="K100" s="213"/>
      <c r="L100" s="26"/>
      <c r="M100" s="26"/>
    </row>
    <row r="101" spans="1:13" ht="12.75">
      <c r="A101" s="136" t="s">
        <v>375</v>
      </c>
      <c r="B101" s="40" t="s">
        <v>372</v>
      </c>
      <c r="C101" s="26"/>
      <c r="D101" s="26"/>
      <c r="E101" s="26"/>
      <c r="F101" s="471" t="s">
        <v>109</v>
      </c>
      <c r="G101" s="473"/>
      <c r="H101" s="473"/>
      <c r="I101" s="474"/>
      <c r="J101" s="26"/>
      <c r="K101" s="26"/>
      <c r="L101" s="26"/>
      <c r="M101" s="26"/>
    </row>
    <row r="102" spans="1:13" ht="12.75">
      <c r="A102" s="136"/>
      <c r="B102" s="40"/>
      <c r="C102" s="26" t="s">
        <v>589</v>
      </c>
      <c r="D102" s="26"/>
      <c r="E102" s="26"/>
      <c r="F102" s="471" t="s">
        <v>213</v>
      </c>
      <c r="G102" s="468"/>
      <c r="H102" s="468"/>
      <c r="I102" s="469"/>
      <c r="J102" s="26"/>
      <c r="K102" s="26"/>
      <c r="L102" s="26"/>
      <c r="M102" s="26"/>
    </row>
    <row r="103" spans="1:13" ht="12.75">
      <c r="A103" s="26"/>
      <c r="B103" s="40"/>
      <c r="C103" s="41" t="s">
        <v>373</v>
      </c>
      <c r="D103" s="26"/>
      <c r="E103" s="26"/>
      <c r="F103" s="155">
        <v>50</v>
      </c>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50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190</v>
      </c>
      <c r="H112" s="43" t="s">
        <v>592</v>
      </c>
      <c r="I112" s="42"/>
      <c r="J112" s="46"/>
      <c r="K112" s="46"/>
      <c r="L112" s="26"/>
      <c r="M112" s="26"/>
    </row>
    <row r="113" spans="1:13" ht="12.75">
      <c r="A113" s="26"/>
      <c r="B113" s="26"/>
      <c r="C113" s="27" t="s">
        <v>508</v>
      </c>
      <c r="D113" s="26"/>
      <c r="E113" s="26"/>
      <c r="F113" s="26"/>
      <c r="G113" s="318">
        <f>'Calculations- All Data'!F117</f>
        <v>190</v>
      </c>
      <c r="H113" s="26" t="s">
        <v>547</v>
      </c>
      <c r="I113" s="26"/>
      <c r="J113" s="26"/>
      <c r="K113" s="26"/>
      <c r="L113" s="26"/>
      <c r="M113" s="26"/>
    </row>
    <row r="114" spans="1:13" ht="13.5" thickBot="1">
      <c r="A114" s="26"/>
      <c r="B114" s="26"/>
      <c r="C114" s="27" t="s">
        <v>509</v>
      </c>
      <c r="D114" s="26"/>
      <c r="E114" s="26"/>
      <c r="F114" s="324"/>
      <c r="G114" s="318">
        <f>'Calculations- All Data'!F118</f>
        <v>190</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0.45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330</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150.651</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179.349</v>
      </c>
      <c r="H128" s="40" t="s">
        <v>547</v>
      </c>
      <c r="I128" s="193"/>
      <c r="J128" s="193"/>
      <c r="K128" s="193"/>
      <c r="L128" s="26"/>
      <c r="M128" s="26"/>
    </row>
    <row r="129" spans="1:13" ht="12.75">
      <c r="A129" s="26"/>
      <c r="B129" s="26"/>
      <c r="C129" s="320" t="s">
        <v>599</v>
      </c>
      <c r="D129" s="136"/>
      <c r="E129" s="324"/>
      <c r="F129" s="324" t="s">
        <v>593</v>
      </c>
      <c r="G129" s="318">
        <f>'Calculations- All Data'!F48</f>
        <v>0.45</v>
      </c>
      <c r="H129" s="26"/>
      <c r="I129" s="193"/>
      <c r="J129" s="193"/>
      <c r="K129" s="193"/>
      <c r="L129" s="26"/>
      <c r="M129" s="26"/>
    </row>
    <row r="130" spans="1:13" ht="12.75">
      <c r="A130" s="26"/>
      <c r="B130" s="26"/>
      <c r="C130" s="320" t="s">
        <v>746</v>
      </c>
      <c r="D130" s="136"/>
      <c r="E130" s="324"/>
      <c r="F130" s="324" t="s">
        <v>594</v>
      </c>
      <c r="G130" s="318">
        <f>'Calculations- All Data'!F133</f>
        <v>80.70705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80.70705</v>
      </c>
      <c r="H133" s="26" t="s">
        <v>547</v>
      </c>
      <c r="I133" s="26"/>
      <c r="J133" s="372"/>
      <c r="K133" s="26"/>
      <c r="L133" s="26"/>
      <c r="M133" s="26"/>
    </row>
    <row r="134" spans="1:13" ht="13.5" thickBot="1">
      <c r="A134" s="109"/>
      <c r="B134" s="26"/>
      <c r="C134" s="267" t="s">
        <v>610</v>
      </c>
      <c r="D134" s="267"/>
      <c r="E134" s="267"/>
      <c r="F134" s="324" t="s">
        <v>594</v>
      </c>
      <c r="G134" s="395">
        <f>'Calculations- All Data'!F136</f>
        <v>1614.1409999999998</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518</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20</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1061.5654293026548</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1061.5654293026548</v>
      </c>
      <c r="H174" s="26" t="s">
        <v>298</v>
      </c>
      <c r="I174" s="26"/>
      <c r="J174" s="26"/>
      <c r="K174" s="26"/>
      <c r="L174" s="26"/>
      <c r="M174" s="26"/>
    </row>
    <row r="175" spans="1:13" ht="14.25" customHeight="1">
      <c r="A175" s="98"/>
      <c r="B175" s="27" t="s">
        <v>598</v>
      </c>
      <c r="C175" s="26"/>
      <c r="D175" s="26"/>
      <c r="E175" s="136"/>
      <c r="F175" s="136" t="s">
        <v>593</v>
      </c>
      <c r="G175" s="319">
        <f>'Calculations- All Data'!F47</f>
        <v>0.941</v>
      </c>
      <c r="H175" s="26"/>
      <c r="I175" s="26"/>
      <c r="J175" s="26"/>
      <c r="K175" s="26"/>
      <c r="L175" s="26"/>
      <c r="M175" s="26"/>
    </row>
    <row r="176" spans="1:13" ht="12.75">
      <c r="A176" s="26"/>
      <c r="B176" s="39" t="s">
        <v>615</v>
      </c>
      <c r="C176" s="26"/>
      <c r="D176" s="26"/>
      <c r="E176" s="26"/>
      <c r="F176" s="136" t="s">
        <v>594</v>
      </c>
      <c r="G176" s="319">
        <f>'Calculations- All Data'!F178</f>
        <v>998.9330689737982</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999</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899</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43497</v>
      </c>
      <c r="G4" s="537"/>
      <c r="H4" s="537"/>
      <c r="I4" s="538"/>
      <c r="J4" s="317"/>
      <c r="K4" s="317"/>
      <c r="L4" s="317"/>
      <c r="M4" s="317"/>
    </row>
    <row r="5" spans="1:13" ht="12.75">
      <c r="A5" s="317"/>
      <c r="B5" s="317"/>
      <c r="C5" s="317"/>
      <c r="D5" s="317" t="s">
        <v>578</v>
      </c>
      <c r="E5" s="317"/>
      <c r="F5" s="539" t="str">
        <f>'CREDIT CALCULATION FORM'!F7:K7</f>
        <v>Bosch T 3675 F 1 &amp;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700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20</v>
      </c>
      <c r="G43" s="122"/>
      <c r="H43" s="122"/>
      <c r="I43" s="122"/>
      <c r="J43" s="120"/>
      <c r="K43" s="120"/>
      <c r="L43" s="110"/>
      <c r="M43" s="110"/>
    </row>
    <row r="44" spans="1:13" ht="12.75">
      <c r="A44" s="110"/>
      <c r="B44" s="506" t="s">
        <v>32</v>
      </c>
      <c r="C44" s="506"/>
      <c r="D44" s="506"/>
      <c r="E44" s="506"/>
      <c r="F44" s="215">
        <f>'CREDIT CALCULATION FORM'!G40</f>
        <v>190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70</v>
      </c>
      <c r="G46" s="127"/>
      <c r="H46" s="120"/>
      <c r="I46" s="120"/>
      <c r="J46" s="120"/>
      <c r="K46" s="120"/>
      <c r="L46" s="110"/>
      <c r="M46" s="110"/>
    </row>
    <row r="47" spans="1:13" ht="12.75">
      <c r="A47" s="123"/>
      <c r="B47" s="125"/>
      <c r="C47" s="506" t="s">
        <v>606</v>
      </c>
      <c r="D47" s="506"/>
      <c r="E47" s="506"/>
      <c r="F47" s="103">
        <f>VLOOKUP(F46,'BMPs and Bay Model Data'!A4:D30,4,FALSE)</f>
        <v>0.941</v>
      </c>
      <c r="G47" s="120"/>
      <c r="H47" s="120"/>
      <c r="I47" s="120"/>
      <c r="J47" s="120"/>
      <c r="K47" s="120"/>
      <c r="L47" s="110"/>
      <c r="M47" s="110"/>
    </row>
    <row r="48" spans="1:13" ht="12.75">
      <c r="A48" s="123"/>
      <c r="B48" s="125"/>
      <c r="C48" s="506" t="s">
        <v>607</v>
      </c>
      <c r="D48" s="506"/>
      <c r="E48" s="506"/>
      <c r="F48" s="103">
        <f>VLOOKUP(F46,'BMPs and Bay Model Data'!A4:E30,5,FALSE)</f>
        <v>0.45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105</v>
      </c>
      <c r="G56" s="117" t="s">
        <v>268</v>
      </c>
      <c r="H56" s="117"/>
      <c r="I56" s="117"/>
      <c r="J56" s="101">
        <f>'CREDIT CALCULATION FORM'!J50</f>
        <v>105</v>
      </c>
      <c r="K56" s="117" t="s">
        <v>268</v>
      </c>
      <c r="L56" s="117"/>
      <c r="M56" s="110"/>
    </row>
    <row r="57" spans="1:13" ht="12.75">
      <c r="A57" s="110"/>
      <c r="B57" s="131" t="s">
        <v>502</v>
      </c>
      <c r="C57" s="119"/>
      <c r="D57" s="116"/>
      <c r="E57" s="110"/>
      <c r="F57" s="247">
        <f>F56</f>
        <v>105</v>
      </c>
      <c r="G57" s="119" t="s">
        <v>268</v>
      </c>
      <c r="H57" s="117"/>
      <c r="I57" s="117"/>
      <c r="J57" s="247">
        <f>J56</f>
        <v>105</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35</v>
      </c>
      <c r="G63" s="117" t="str">
        <f>'CREDIT CALCULATION FORM'!G57</f>
        <v>lbs/1000 gallons</v>
      </c>
      <c r="H63" s="110"/>
      <c r="I63" s="117"/>
      <c r="J63" s="101">
        <f>'CREDIT CALCULATION FORM'!J57</f>
        <v>35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5</v>
      </c>
      <c r="G65" s="117" t="str">
        <f>'CREDIT CALCULATION FORM'!G58</f>
        <v>1000 gallons/ac</v>
      </c>
      <c r="H65" s="117"/>
      <c r="I65" s="117"/>
      <c r="J65" s="101">
        <f>'CREDIT CALCULATION FORM'!J58</f>
        <v>5</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Incorporation within 7 days</v>
      </c>
      <c r="G66" s="501"/>
      <c r="H66" s="501"/>
      <c r="I66" s="189"/>
      <c r="J66" s="500" t="str">
        <f>'CREDIT CALCULATION FORM'!J59:M59</f>
        <v>Incorporation within 7 days</v>
      </c>
      <c r="K66" s="501"/>
      <c r="L66" s="513"/>
      <c r="M66" s="110"/>
    </row>
    <row r="67" spans="1:13" ht="12.75">
      <c r="A67" s="110"/>
      <c r="B67" s="117"/>
      <c r="C67" s="119"/>
      <c r="D67" s="110" t="s">
        <v>291</v>
      </c>
      <c r="E67" s="110"/>
      <c r="F67" s="512" t="str">
        <f>CONCATENATE(F60,F66)</f>
        <v>Early fallIncorporation within 7 days</v>
      </c>
      <c r="G67" s="501"/>
      <c r="H67" s="501"/>
      <c r="I67" s="189"/>
      <c r="J67" s="512" t="str">
        <f>CONCATENATE(J60,J66)</f>
        <v>Early fallIncorporation within 7 days</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175</v>
      </c>
      <c r="G69" s="117" t="s">
        <v>268</v>
      </c>
      <c r="H69" s="117"/>
      <c r="I69" s="117"/>
      <c r="J69" s="247">
        <f>IF(J62="Yes",J65*J63,J65*J64)</f>
        <v>175</v>
      </c>
      <c r="K69" s="117" t="s">
        <v>268</v>
      </c>
      <c r="L69" s="117"/>
      <c r="M69" s="110"/>
    </row>
    <row r="70" spans="1:13" ht="12.75">
      <c r="A70" s="110"/>
      <c r="B70" s="131" t="s">
        <v>501</v>
      </c>
      <c r="C70" s="119"/>
      <c r="D70" s="116"/>
      <c r="E70" s="110"/>
      <c r="F70" s="247">
        <f>F68*F69</f>
        <v>35</v>
      </c>
      <c r="G70" s="119" t="s">
        <v>268</v>
      </c>
      <c r="H70" s="117"/>
      <c r="I70" s="117"/>
      <c r="J70" s="247">
        <f>J68*J69</f>
        <v>35</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280</v>
      </c>
      <c r="G98" s="119" t="s">
        <v>268</v>
      </c>
      <c r="H98" s="191" t="s">
        <v>14</v>
      </c>
      <c r="I98" s="117"/>
      <c r="J98" s="402">
        <f>IF(SUM(J57,J69,J82,J95)=0,F98,SUM(J57,J82,J69,J95))</f>
        <v>280</v>
      </c>
      <c r="K98" s="110" t="s">
        <v>268</v>
      </c>
      <c r="L98" s="110"/>
      <c r="M98" s="110"/>
    </row>
    <row r="99" spans="1:13" ht="13.5" thickBot="1">
      <c r="A99" s="110"/>
      <c r="B99" s="116" t="s">
        <v>511</v>
      </c>
      <c r="C99" s="119"/>
      <c r="D99" s="110"/>
      <c r="E99" s="110"/>
      <c r="F99" s="402">
        <f>SUM(F96,F83,F70,F57)</f>
        <v>140</v>
      </c>
      <c r="G99" s="119" t="s">
        <v>268</v>
      </c>
      <c r="H99" s="191" t="s">
        <v>14</v>
      </c>
      <c r="I99" s="191"/>
      <c r="J99" s="402">
        <f>IF(SUM(J96,J83,J70,J57)=0,F99,SUM(J96,J83,J70,J57))</f>
        <v>140</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0</v>
      </c>
      <c r="G104" s="119" t="s">
        <v>268</v>
      </c>
      <c r="H104" s="130"/>
      <c r="I104" s="117"/>
      <c r="J104" s="110"/>
      <c r="K104" s="110"/>
      <c r="L104" s="110"/>
      <c r="M104" s="110"/>
    </row>
    <row r="105" spans="1:13" ht="12.75">
      <c r="A105" s="110"/>
      <c r="B105" s="117" t="s">
        <v>297</v>
      </c>
      <c r="C105" s="110"/>
      <c r="D105" s="110"/>
      <c r="E105" s="110"/>
      <c r="F105" s="514" t="str">
        <f>'CREDIT CALCULATION FORM'!F101</f>
        <v>Soybeans </v>
      </c>
      <c r="G105" s="515"/>
      <c r="H105" s="515"/>
      <c r="I105" s="516"/>
      <c r="J105" s="110"/>
      <c r="K105" s="110"/>
      <c r="L105" s="110"/>
      <c r="M105" s="110"/>
    </row>
    <row r="106" spans="1:13" ht="12.75">
      <c r="A106" s="110"/>
      <c r="B106" s="117"/>
      <c r="C106" s="110" t="s">
        <v>447</v>
      </c>
      <c r="D106" s="110"/>
      <c r="E106" s="110"/>
      <c r="F106" s="471" t="str">
        <f>'CREDIT CALCULATION FORM'!F102</f>
        <v>Barbour</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50</v>
      </c>
      <c r="G108" s="119" t="s">
        <v>588</v>
      </c>
      <c r="H108" s="117"/>
      <c r="I108" s="117"/>
      <c r="J108" s="110"/>
      <c r="K108" s="110"/>
      <c r="L108" s="110"/>
      <c r="M108" s="110"/>
    </row>
    <row r="109" spans="1:13" ht="12.75">
      <c r="A109" s="110"/>
      <c r="B109" s="117"/>
      <c r="C109" s="119" t="s">
        <v>449</v>
      </c>
      <c r="D109" s="110"/>
      <c r="E109" s="110"/>
      <c r="F109" s="512" t="str">
        <f>CONCATENATE(F105,F107)</f>
        <v>Soybeans 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50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190</v>
      </c>
      <c r="G116" s="124" t="s">
        <v>365</v>
      </c>
      <c r="H116" s="122"/>
      <c r="I116" s="122"/>
      <c r="J116" s="120"/>
      <c r="K116" s="120"/>
      <c r="L116" s="110"/>
      <c r="M116" s="110"/>
    </row>
    <row r="117" spans="1:13" ht="12.75">
      <c r="A117" s="110"/>
      <c r="B117" s="110"/>
      <c r="C117" s="278" t="s">
        <v>508</v>
      </c>
      <c r="D117" s="278"/>
      <c r="E117" s="278"/>
      <c r="F117" s="424">
        <f>F99+F111</f>
        <v>190</v>
      </c>
      <c r="G117" s="117" t="s">
        <v>268</v>
      </c>
      <c r="H117" s="117"/>
      <c r="I117" s="117"/>
      <c r="J117" s="110"/>
      <c r="K117" s="110"/>
      <c r="L117" s="110"/>
      <c r="M117" s="110"/>
    </row>
    <row r="118" spans="1:15" ht="12.75" customHeight="1" thickBot="1">
      <c r="A118" s="110"/>
      <c r="B118" s="110"/>
      <c r="C118" s="278" t="s">
        <v>509</v>
      </c>
      <c r="D118" s="278"/>
      <c r="E118" s="278"/>
      <c r="F118" s="389">
        <f>F111+J99</f>
        <v>190</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330</v>
      </c>
      <c r="G129" s="124" t="s">
        <v>268</v>
      </c>
      <c r="H129" s="122"/>
      <c r="I129" s="122"/>
      <c r="J129" s="120"/>
      <c r="K129" s="120"/>
      <c r="L129" s="110"/>
      <c r="M129" s="110"/>
    </row>
    <row r="130" spans="1:13" ht="12.75">
      <c r="A130" s="110"/>
      <c r="B130" s="124" t="s">
        <v>563</v>
      </c>
      <c r="C130" s="110"/>
      <c r="D130" s="124"/>
      <c r="E130" s="124"/>
      <c r="F130" s="424">
        <f>VLOOKUP(F40,'Data Tables'!A4:D78,4,FALSE)*F44</f>
        <v>150.651</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179.349</v>
      </c>
      <c r="G132" s="119" t="s">
        <v>268</v>
      </c>
      <c r="H132" s="129"/>
      <c r="I132" s="110"/>
      <c r="J132" s="110"/>
      <c r="K132" s="110"/>
      <c r="L132" s="110"/>
      <c r="M132" s="110"/>
    </row>
    <row r="133" spans="1:13" ht="12.75" customHeight="1">
      <c r="A133" s="110"/>
      <c r="B133" s="278" t="s">
        <v>865</v>
      </c>
      <c r="C133" s="117"/>
      <c r="D133" s="117"/>
      <c r="E133" s="110"/>
      <c r="F133" s="248">
        <f>F132*F48</f>
        <v>80.70705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1614.1409999999998</v>
      </c>
      <c r="G136" s="119" t="s">
        <v>298</v>
      </c>
      <c r="H136" s="129"/>
      <c r="I136" s="110"/>
      <c r="J136" s="110"/>
      <c r="K136" s="110"/>
      <c r="L136" s="110"/>
      <c r="M136" s="110"/>
    </row>
    <row r="137" spans="1:13" ht="12.75" customHeight="1">
      <c r="A137" s="110"/>
      <c r="B137" s="131" t="s">
        <v>569</v>
      </c>
      <c r="C137" s="119"/>
      <c r="D137" s="110"/>
      <c r="E137" s="110"/>
      <c r="F137" s="403">
        <f>IF(F43=0,"0",F136/F43)</f>
        <v>80.70705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Cereal Cover Crop</v>
      </c>
      <c r="F146" s="523"/>
      <c r="G146" s="512" t="str">
        <f>IF(OR(E146=$E$245,E146=$E$246),CONCATENATE(E146,$F$151),IF(E146="Continuous No-Till*",CONCATENATE(E146,$F$49),IF(OR(E146=$E$249,E146=$E$250,E146=$E$251,E146=$E$252),CONCATENATE(E146,$F$45),E146)))</f>
        <v>Cereal Cover CropEarly-Planting - Up to 7 days prior to published first frost date</v>
      </c>
      <c r="H146" s="501"/>
      <c r="I146" s="501"/>
      <c r="J146" s="513"/>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20</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1061.5654293026548</v>
      </c>
      <c r="G153" s="120" t="s">
        <v>298</v>
      </c>
      <c r="H153" s="122"/>
      <c r="I153" s="211"/>
      <c r="J153" s="254"/>
      <c r="K153" s="254"/>
      <c r="L153" s="120"/>
      <c r="M153" s="120"/>
    </row>
    <row r="154" spans="1:13" ht="12.75">
      <c r="A154" s="110"/>
      <c r="B154" s="110"/>
      <c r="C154" s="110"/>
      <c r="D154" s="141" t="s">
        <v>548</v>
      </c>
      <c r="E154" s="212"/>
      <c r="F154" s="281">
        <f>IF(F43=0,"0",(F136-F153)/F43)</f>
        <v>27.62877853486725</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1061.5654293026548</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1061.5654293026548</v>
      </c>
      <c r="G176" s="110" t="s">
        <v>298</v>
      </c>
      <c r="H176" s="110"/>
      <c r="I176" s="110"/>
      <c r="J176" s="110"/>
      <c r="K176" s="110"/>
      <c r="L176" s="110"/>
      <c r="M176" s="110"/>
    </row>
    <row r="177" spans="1:13" ht="12.75">
      <c r="A177" s="116"/>
      <c r="B177" s="131" t="s">
        <v>609</v>
      </c>
      <c r="C177" s="110"/>
      <c r="D177" s="110"/>
      <c r="E177" s="110"/>
      <c r="F177" s="406">
        <f>F47</f>
        <v>0.941</v>
      </c>
      <c r="G177" s="110"/>
      <c r="H177" s="110"/>
      <c r="I177" s="110"/>
      <c r="J177" s="110"/>
      <c r="K177" s="110"/>
      <c r="L177" s="110"/>
      <c r="M177" s="110"/>
    </row>
    <row r="178" spans="1:13" ht="12.75">
      <c r="A178" s="110"/>
      <c r="B178" s="116" t="s">
        <v>506</v>
      </c>
      <c r="C178" s="110"/>
      <c r="D178" s="110"/>
      <c r="E178" s="110"/>
      <c r="F178" s="412">
        <f>F176*F47</f>
        <v>998.9330689737982</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998.9330689737982</v>
      </c>
      <c r="G180" s="110" t="s">
        <v>585</v>
      </c>
      <c r="H180" s="110"/>
      <c r="I180" s="110"/>
      <c r="J180" s="110"/>
      <c r="K180" s="110"/>
      <c r="L180" s="110"/>
      <c r="M180" s="110"/>
    </row>
    <row r="181" spans="1:13" ht="13.5" thickBot="1">
      <c r="A181" s="110"/>
      <c r="B181" s="116" t="s">
        <v>561</v>
      </c>
      <c r="C181" s="415"/>
      <c r="D181" s="415"/>
      <c r="E181" s="415"/>
      <c r="F181" s="416">
        <f>ROUND(F180,0)</f>
        <v>999</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899.1</v>
      </c>
      <c r="G184" s="420" t="s">
        <v>585</v>
      </c>
      <c r="H184" s="110"/>
      <c r="I184" s="110"/>
      <c r="J184" s="110"/>
      <c r="K184" s="110"/>
      <c r="L184" s="110"/>
      <c r="M184" s="110"/>
    </row>
    <row r="185" spans="1:13" ht="15.75" thickBot="1">
      <c r="A185" s="110"/>
      <c r="B185" s="112" t="s">
        <v>559</v>
      </c>
      <c r="C185" s="421"/>
      <c r="D185" s="421"/>
      <c r="E185" s="421"/>
      <c r="F185" s="414">
        <f>ROUND(F184,0)</f>
        <v>899</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7" t="s">
        <v>572</v>
      </c>
      <c r="B2" s="583"/>
      <c r="C2" s="583"/>
      <c r="D2" s="583"/>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7" t="s">
        <v>114</v>
      </c>
      <c r="B81" s="501"/>
      <c r="C81" s="23"/>
      <c r="D81" s="22"/>
      <c r="E81" s="22"/>
      <c r="F81" s="22"/>
      <c r="G81" s="22"/>
    </row>
    <row r="82" spans="1:7" ht="12.75">
      <c r="A82" s="568" t="s">
        <v>233</v>
      </c>
      <c r="B82" s="570" t="s">
        <v>108</v>
      </c>
      <c r="C82" s="572"/>
      <c r="D82" s="16"/>
      <c r="E82" s="5"/>
      <c r="F82" s="5"/>
      <c r="G82" s="5"/>
    </row>
    <row r="83" spans="1:7" ht="12.75">
      <c r="A83" s="569"/>
      <c r="B83" s="571"/>
      <c r="C83" s="573"/>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7" t="s">
        <v>378</v>
      </c>
      <c r="B123" s="574"/>
      <c r="D123" s="379"/>
      <c r="E123" s="45"/>
      <c r="F123" s="378"/>
      <c r="G123" s="22"/>
    </row>
    <row r="124" spans="1:7" ht="12.75">
      <c r="A124" s="581" t="s">
        <v>379</v>
      </c>
      <c r="B124" s="575" t="s">
        <v>450</v>
      </c>
      <c r="D124" s="380"/>
      <c r="E124" s="381"/>
      <c r="F124" s="16"/>
      <c r="G124" s="5"/>
    </row>
    <row r="125" spans="1:7" ht="12.75">
      <c r="A125" s="582"/>
      <c r="B125" s="576"/>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7" t="s">
        <v>229</v>
      </c>
      <c r="B131" s="58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7" t="s">
        <v>280</v>
      </c>
      <c r="B247" s="501"/>
      <c r="C247" s="501"/>
      <c r="D247" s="501"/>
      <c r="E247" s="513"/>
    </row>
    <row r="248" spans="1:5" ht="12.75">
      <c r="A248" s="28" t="s">
        <v>277</v>
      </c>
      <c r="B248" s="578" t="s">
        <v>278</v>
      </c>
      <c r="C248" s="579"/>
      <c r="D248" s="579"/>
      <c r="E248" s="228" t="s">
        <v>470</v>
      </c>
    </row>
    <row r="249" spans="1:5" ht="12.75">
      <c r="A249" s="223" t="s">
        <v>453</v>
      </c>
      <c r="B249" s="224">
        <v>28</v>
      </c>
      <c r="C249" s="564" t="s">
        <v>605</v>
      </c>
      <c r="D249" s="565"/>
      <c r="E249" s="6" t="s">
        <v>604</v>
      </c>
    </row>
    <row r="250" spans="1:5" ht="12.75">
      <c r="A250" s="31" t="s">
        <v>457</v>
      </c>
      <c r="B250" s="32">
        <v>10</v>
      </c>
      <c r="C250" s="562" t="s">
        <v>279</v>
      </c>
      <c r="D250" s="563"/>
      <c r="E250" s="7" t="s">
        <v>469</v>
      </c>
    </row>
    <row r="251" spans="1:5" ht="12.75">
      <c r="A251" s="31" t="s">
        <v>455</v>
      </c>
      <c r="B251" s="32">
        <v>9</v>
      </c>
      <c r="C251" s="562" t="s">
        <v>279</v>
      </c>
      <c r="D251" s="563"/>
      <c r="E251" s="7" t="s">
        <v>469</v>
      </c>
    </row>
    <row r="252" spans="1:5" ht="12.75">
      <c r="A252" s="33" t="s">
        <v>456</v>
      </c>
      <c r="B252" s="222">
        <v>7</v>
      </c>
      <c r="C252" s="560" t="s">
        <v>279</v>
      </c>
      <c r="D252" s="561"/>
      <c r="E252" s="8" t="s">
        <v>469</v>
      </c>
    </row>
    <row r="253" spans="1:5" ht="12.75">
      <c r="A253" s="58" t="s">
        <v>454</v>
      </c>
      <c r="B253" s="58">
        <v>36</v>
      </c>
      <c r="C253" s="564" t="s">
        <v>605</v>
      </c>
      <c r="D253" s="565"/>
      <c r="E253" s="405" t="s">
        <v>604</v>
      </c>
    </row>
    <row r="254" spans="1:5" ht="12.75">
      <c r="A254" s="104" t="s">
        <v>451</v>
      </c>
      <c r="B254" s="105">
        <v>11</v>
      </c>
      <c r="C254" s="586" t="s">
        <v>279</v>
      </c>
      <c r="D254" s="565"/>
      <c r="E254" s="7" t="s">
        <v>469</v>
      </c>
    </row>
    <row r="255" spans="1:5" ht="12.75">
      <c r="A255" s="33" t="s">
        <v>452</v>
      </c>
      <c r="B255" s="222">
        <v>14</v>
      </c>
      <c r="C255" s="560" t="s">
        <v>279</v>
      </c>
      <c r="D255" s="561"/>
      <c r="E255" s="8" t="s">
        <v>469</v>
      </c>
    </row>
    <row r="256" spans="1:5" ht="12.75">
      <c r="A256" s="225" t="s">
        <v>411</v>
      </c>
      <c r="B256" s="423">
        <v>12</v>
      </c>
      <c r="C256" s="160" t="s">
        <v>279</v>
      </c>
      <c r="D256" s="422"/>
      <c r="E256" s="7" t="s">
        <v>469</v>
      </c>
    </row>
    <row r="257" spans="1:5" ht="12.75">
      <c r="A257" s="11" t="s">
        <v>458</v>
      </c>
      <c r="B257" s="106">
        <v>30</v>
      </c>
      <c r="C257" s="564" t="s">
        <v>605</v>
      </c>
      <c r="D257" s="565"/>
      <c r="E257" s="6" t="s">
        <v>604</v>
      </c>
    </row>
    <row r="258" spans="1:5" ht="12.75">
      <c r="A258" s="32" t="s">
        <v>459</v>
      </c>
      <c r="B258" s="32">
        <v>25</v>
      </c>
      <c r="C258" s="562" t="s">
        <v>605</v>
      </c>
      <c r="D258" s="566"/>
      <c r="E258" s="7" t="s">
        <v>604</v>
      </c>
    </row>
    <row r="259" spans="1:5" ht="12.75">
      <c r="A259" s="32" t="s">
        <v>460</v>
      </c>
      <c r="B259" s="32">
        <v>40</v>
      </c>
      <c r="C259" s="562" t="s">
        <v>605</v>
      </c>
      <c r="D259" s="566"/>
      <c r="E259" s="7" t="s">
        <v>604</v>
      </c>
    </row>
    <row r="260" spans="1:5" ht="12.75">
      <c r="A260" s="32" t="s">
        <v>461</v>
      </c>
      <c r="B260" s="32">
        <v>50</v>
      </c>
      <c r="C260" s="562" t="s">
        <v>605</v>
      </c>
      <c r="D260" s="566"/>
      <c r="E260" s="7" t="s">
        <v>604</v>
      </c>
    </row>
    <row r="261" spans="1:5" ht="12.75">
      <c r="A261" s="12" t="s">
        <v>462</v>
      </c>
      <c r="B261" s="12">
        <v>40</v>
      </c>
      <c r="C261" s="562" t="s">
        <v>605</v>
      </c>
      <c r="D261" s="566"/>
      <c r="E261" s="7" t="s">
        <v>604</v>
      </c>
    </row>
    <row r="262" spans="1:5" ht="12.75">
      <c r="A262" s="11" t="s">
        <v>463</v>
      </c>
      <c r="B262" s="12">
        <v>37</v>
      </c>
      <c r="C262" s="562" t="s">
        <v>279</v>
      </c>
      <c r="D262" s="566"/>
      <c r="E262" s="7" t="s">
        <v>469</v>
      </c>
    </row>
    <row r="263" spans="1:5" ht="12.75">
      <c r="A263" s="12" t="s">
        <v>468</v>
      </c>
      <c r="B263" s="58">
        <v>43</v>
      </c>
      <c r="C263" s="562" t="s">
        <v>279</v>
      </c>
      <c r="D263" s="566"/>
      <c r="E263" s="7" t="s">
        <v>469</v>
      </c>
    </row>
    <row r="264" spans="1:5" ht="12.75">
      <c r="A264" s="58" t="s">
        <v>464</v>
      </c>
      <c r="B264" s="58">
        <v>79</v>
      </c>
      <c r="C264" s="562" t="s">
        <v>279</v>
      </c>
      <c r="D264" s="566"/>
      <c r="E264" s="7" t="s">
        <v>469</v>
      </c>
    </row>
    <row r="265" spans="1:5" ht="12.75">
      <c r="A265" s="58" t="s">
        <v>465</v>
      </c>
      <c r="B265" s="58">
        <v>66</v>
      </c>
      <c r="C265" s="562" t="s">
        <v>279</v>
      </c>
      <c r="D265" s="566"/>
      <c r="E265" s="7" t="s">
        <v>469</v>
      </c>
    </row>
    <row r="266" spans="1:5" ht="12.75">
      <c r="A266" s="58" t="s">
        <v>466</v>
      </c>
      <c r="B266" s="58">
        <v>52</v>
      </c>
      <c r="C266" s="562" t="s">
        <v>279</v>
      </c>
      <c r="D266" s="566"/>
      <c r="E266" s="7" t="s">
        <v>469</v>
      </c>
    </row>
    <row r="267" spans="1:5" ht="12.75">
      <c r="A267" s="58" t="s">
        <v>467</v>
      </c>
      <c r="B267" s="58">
        <v>73</v>
      </c>
      <c r="C267" s="562" t="s">
        <v>279</v>
      </c>
      <c r="D267" s="56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281</v>
      </c>
      <c r="B273" s="585"/>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B248:D248"/>
    <mergeCell ref="C261:D261"/>
    <mergeCell ref="A131:B131"/>
    <mergeCell ref="C267:D267"/>
    <mergeCell ref="A124:A125"/>
    <mergeCell ref="A2:H2"/>
    <mergeCell ref="A81:B81"/>
    <mergeCell ref="A82:A83"/>
    <mergeCell ref="B82:B83"/>
    <mergeCell ref="C82:C83"/>
    <mergeCell ref="A123:B123"/>
    <mergeCell ref="C266:D266"/>
    <mergeCell ref="B124:B125"/>
    <mergeCell ref="C265:D265"/>
    <mergeCell ref="C260:D260"/>
    <mergeCell ref="A247:E247"/>
    <mergeCell ref="C270:D270"/>
    <mergeCell ref="C252:D252"/>
    <mergeCell ref="C251:D251"/>
    <mergeCell ref="C250:D250"/>
    <mergeCell ref="C253:D253"/>
    <mergeCell ref="C255:D255"/>
    <mergeCell ref="C257:D257"/>
    <mergeCell ref="C259:D259"/>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7" t="s">
        <v>323</v>
      </c>
      <c r="B33" s="501"/>
      <c r="C33" s="501"/>
      <c r="D33" s="501"/>
      <c r="E33" s="501"/>
      <c r="F33" s="513"/>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7" t="s">
        <v>744</v>
      </c>
      <c r="B60" s="501"/>
      <c r="C60" s="501"/>
      <c r="D60" s="501"/>
      <c r="E60" s="501"/>
      <c r="F60" s="513"/>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2019-02-04T18:56:31Z</dcterms:modified>
  <cp:category/>
  <cp:version/>
  <cp:contentType/>
  <cp:contentStatus/>
</cp:coreProperties>
</file>