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25" yWindow="825" windowWidth="12120" windowHeight="4380" activeTab="0"/>
  </bookViews>
  <sheets>
    <sheet name="Data Entry" sheetId="1" r:id="rId1"/>
    <sheet name="Layer Calcs" sheetId="2" r:id="rId2"/>
    <sheet name="Distribution Charts" sheetId="3" r:id="rId3"/>
    <sheet name="Well" sheetId="4" r:id="rId4"/>
    <sheet name="Trench" sheetId="5" r:id="rId5"/>
    <sheet name="Fluid Parameters" sheetId="6" r:id="rId6"/>
    <sheet name="Porosity, Res. Sat. Parameters" sheetId="7" r:id="rId7"/>
    <sheet name="vG Parameters" sheetId="8" r:id="rId8"/>
  </sheets>
  <definedNames>
    <definedName name="_xlnm.Print_Area" localSheetId="0">'Data Entry'!$A$1:$M$20</definedName>
    <definedName name="_xlnm.Print_Area" localSheetId="1">'Layer Calcs'!$B$3:$Q$37</definedName>
    <definedName name="solver_adj" localSheetId="1" hidden="1">'Layer Calcs'!$B$5:$D$6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'Layer Calcs'!$B$5</definedName>
    <definedName name="solver_lhs2" localSheetId="1" hidden="1">'Layer Calcs'!$D$5</definedName>
    <definedName name="solver_lhs3" localSheetId="1" hidden="1">'Layer Calcs'!$B$6</definedName>
    <definedName name="solver_lhs4" localSheetId="1" hidden="1">'Layer Calcs'!$C$5</definedName>
    <definedName name="solver_lhs5" localSheetId="1" hidden="1">'Layer Calcs'!$D$6</definedName>
    <definedName name="solver_lhs6" localSheetId="1" hidden="1">'Layer Calcs'!$H$6</definedName>
    <definedName name="solver_lin" localSheetId="1" hidden="1">2</definedName>
    <definedName name="solver_neg" localSheetId="1" hidden="1">2</definedName>
    <definedName name="solver_num" localSheetId="1" hidden="1">6</definedName>
    <definedName name="solver_nwt" localSheetId="1" hidden="1">1</definedName>
    <definedName name="solver_opt" localSheetId="1" hidden="1">'Layer Calcs'!$I$4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hs1" localSheetId="1" hidden="1">0.1*'Layer Calcs'!$B$7</definedName>
    <definedName name="solver_rhs2" localSheetId="1" hidden="1">0.000001</definedName>
    <definedName name="solver_rhs3" localSheetId="1" hidden="1">0.8*'Layer Calcs'!$B$7</definedName>
    <definedName name="solver_rhs4" localSheetId="1" hidden="1">0.000001</definedName>
    <definedName name="solver_rhs5" localSheetId="1" hidden="1">0.001</definedName>
    <definedName name="solver_rhs6" localSheetId="1" hidden="1">0.001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<sst xmlns="http://schemas.openxmlformats.org/spreadsheetml/2006/main" count="175" uniqueCount="146">
  <si>
    <t>Scale</t>
  </si>
  <si>
    <t>Elevation</t>
  </si>
  <si>
    <t>M =</t>
  </si>
  <si>
    <t>N =</t>
  </si>
  <si>
    <t>van Genuchten</t>
  </si>
  <si>
    <t>Brooks-Corey</t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</si>
  <si>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</si>
  <si>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</si>
  <si>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ro</t>
    </r>
  </si>
  <si>
    <t>Soil Characteristic</t>
  </si>
  <si>
    <t>Fluid Characteristics:</t>
  </si>
  <si>
    <t>porosity</t>
  </si>
  <si>
    <t>irreducible water saturation</t>
  </si>
  <si>
    <r>
      <t>S</t>
    </r>
    <r>
      <rPr>
        <vertAlign val="subscript"/>
        <sz val="12"/>
        <rFont val="Arial"/>
        <family val="2"/>
      </rPr>
      <t>wr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</si>
  <si>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ors</t>
    </r>
    <r>
      <rPr>
        <sz val="12"/>
        <rFont val="Arial"/>
        <family val="2"/>
      </rPr>
      <t xml:space="preserve"> =</t>
    </r>
  </si>
  <si>
    <r>
      <t>a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</si>
  <si>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</t>
    </r>
    <r>
      <rPr>
        <sz val="12"/>
        <rFont val="Arial"/>
        <family val="2"/>
      </rPr>
      <t xml:space="preserve">  = </t>
    </r>
  </si>
  <si>
    <r>
      <t>a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</si>
  <si>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</si>
  <si>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</si>
  <si>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</si>
  <si>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t>b</t>
  </si>
  <si>
    <t>Data for curve-fitting segments</t>
  </si>
  <si>
    <r>
      <t xml:space="preserve">Enter Data in </t>
    </r>
    <r>
      <rPr>
        <b/>
        <sz val="11"/>
        <color indexed="10"/>
        <rFont val="Arial"/>
        <family val="2"/>
      </rPr>
      <t>Yellow</t>
    </r>
    <r>
      <rPr>
        <b/>
        <sz val="11"/>
        <color indexed="12"/>
        <rFont val="Arial"/>
        <family val="2"/>
      </rPr>
      <t xml:space="preserve"> Region</t>
    </r>
  </si>
  <si>
    <t>residual LNAPL saturation (saturated)</t>
  </si>
  <si>
    <t>residual LNAPL saturation (vadose)</t>
  </si>
  <si>
    <t>Maximum Monitoring Well</t>
  </si>
  <si>
    <r>
      <t>b</t>
    </r>
    <r>
      <rPr>
        <vertAlign val="sub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=</t>
    </r>
  </si>
  <si>
    <t xml:space="preserve">n = </t>
  </si>
  <si>
    <t>van Genuchten "N"</t>
  </si>
  <si>
    <t>Calculated Parameters</t>
  </si>
  <si>
    <t>van Genuchten "M"</t>
  </si>
  <si>
    <t xml:space="preserve"> </t>
  </si>
  <si>
    <t>pore-size distribution index</t>
  </si>
  <si>
    <r>
      <t>k</t>
    </r>
    <r>
      <rPr>
        <vertAlign val="subscript"/>
        <sz val="10"/>
        <rFont val="Arial"/>
        <family val="2"/>
      </rPr>
      <t>ro</t>
    </r>
    <r>
      <rPr>
        <sz val="10"/>
        <rFont val="Arial"/>
        <family val="2"/>
      </rPr>
      <t xml:space="preserve"> =</t>
    </r>
  </si>
  <si>
    <t>bo</t>
  </si>
  <si>
    <t>Do</t>
  </si>
  <si>
    <t>kro</t>
  </si>
  <si>
    <t>h</t>
  </si>
  <si>
    <t xml:space="preserve">Free-Product Recovery System Analysis </t>
  </si>
  <si>
    <t>Water Enhanced</t>
  </si>
  <si>
    <t>Vacuum Enhanced</t>
  </si>
  <si>
    <r>
      <t>k</t>
    </r>
    <r>
      <rPr>
        <vertAlign val="subscript"/>
        <sz val="10"/>
        <rFont val="Arial"/>
        <family val="2"/>
      </rPr>
      <t>ra</t>
    </r>
    <r>
      <rPr>
        <sz val="10"/>
        <rFont val="Arial"/>
        <family val="2"/>
      </rPr>
      <t xml:space="preserve"> =</t>
    </r>
  </si>
  <si>
    <t>Skimmer Well</t>
  </si>
  <si>
    <r>
      <t>g</t>
    </r>
    <r>
      <rPr>
        <sz val="10"/>
        <rFont val="Arial"/>
        <family val="2"/>
      </rPr>
      <t xml:space="preserve"> =</t>
    </r>
  </si>
  <si>
    <t>Index</t>
  </si>
  <si>
    <t>t</t>
  </si>
  <si>
    <t>vo</t>
  </si>
  <si>
    <t>so_k</t>
  </si>
  <si>
    <r>
      <t>Y</t>
    </r>
    <r>
      <rPr>
        <vertAlign val="subscript"/>
        <sz val="12"/>
        <rFont val="Tahoma"/>
        <family val="2"/>
      </rPr>
      <t>b</t>
    </r>
    <r>
      <rPr>
        <sz val="12"/>
        <rFont val="Symbol"/>
        <family val="1"/>
      </rPr>
      <t xml:space="preserve"> =</t>
    </r>
  </si>
  <si>
    <t>van Genuchten-Burdine Model of LNAPL Distribution and Relative Permeability</t>
  </si>
  <si>
    <r>
      <t>r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</si>
  <si>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aw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</si>
  <si>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 =</t>
    </r>
  </si>
  <si>
    <r>
      <t>s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 =</t>
    </r>
  </si>
  <si>
    <r>
      <t>l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</si>
  <si>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=</t>
    </r>
  </si>
  <si>
    <t>Eps-Do</t>
  </si>
  <si>
    <t>Eps-kro</t>
  </si>
  <si>
    <t>Press Ctrl-Shift+S to calculate sheet</t>
  </si>
  <si>
    <t>z</t>
  </si>
  <si>
    <t>So</t>
  </si>
  <si>
    <r>
      <t>J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</si>
  <si>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Recoverable Volume</t>
  </si>
  <si>
    <t>Trench Recovery System</t>
  </si>
  <si>
    <t>Press Ctrl+Shift+S</t>
  </si>
  <si>
    <t>to calculate sheet</t>
  </si>
  <si>
    <t>B-C displacement pressure head [ft]</t>
  </si>
  <si>
    <t>LNAPL Thickness [feet]</t>
  </si>
  <si>
    <t>elevation of air-LNAPL interface [ft]</t>
  </si>
  <si>
    <t>elevation of LNAPL-water interface [ft]</t>
  </si>
  <si>
    <t>maximum free-product elevation [ft]</t>
  </si>
  <si>
    <t>LNAPL density [gm/cc]</t>
  </si>
  <si>
    <t>air/water surface tension [dyne/cm]</t>
  </si>
  <si>
    <t>air/LNAPL surface tension [dyne/cm]</t>
  </si>
  <si>
    <t>LNAPL/water surface tension [dyne/cm]</t>
  </si>
  <si>
    <r>
      <t>van Genuchten "</t>
    </r>
    <r>
      <rPr>
        <sz val="10"/>
        <color indexed="12"/>
        <rFont val="Symbol"/>
        <family val="1"/>
      </rPr>
      <t>a</t>
    </r>
    <r>
      <rPr>
        <sz val="10"/>
        <color indexed="12"/>
        <rFont val="Arial"/>
        <family val="2"/>
      </rPr>
      <t>"   [ft</t>
    </r>
    <r>
      <rPr>
        <vertAlign val="superscript"/>
        <sz val="10"/>
        <color indexed="12"/>
        <rFont val="Arial"/>
        <family val="2"/>
      </rPr>
      <t>-1</t>
    </r>
    <r>
      <rPr>
        <sz val="10"/>
        <color indexed="12"/>
        <rFont val="Arial"/>
        <family val="2"/>
      </rPr>
      <t>]</t>
    </r>
  </si>
  <si>
    <r>
      <t>air/LNAPL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</si>
  <si>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LNAPL/water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</si>
  <si>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Monitoring Well LNAPL Thickness b</t>
    </r>
    <r>
      <rPr>
        <b/>
        <vertAlign val="subscript"/>
        <sz val="11"/>
        <color indexed="12"/>
        <rFont val="Arial"/>
        <family val="2"/>
      </rPr>
      <t>o</t>
    </r>
    <r>
      <rPr>
        <b/>
        <sz val="11"/>
        <color indexed="12"/>
        <rFont val="Arial"/>
        <family val="2"/>
      </rPr>
      <t xml:space="preserve"> [ft] =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</si>
  <si>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 =</t>
    </r>
  </si>
  <si>
    <r>
      <t>t</t>
    </r>
    <r>
      <rPr>
        <vertAlign val="subscript"/>
        <sz val="10"/>
        <rFont val="Arial"/>
        <family val="2"/>
      </rPr>
      <t>recovery</t>
    </r>
    <r>
      <rPr>
        <sz val="10"/>
        <rFont val="Arial"/>
        <family val="2"/>
      </rPr>
      <t xml:space="preserve"> [yr] =</t>
    </r>
  </si>
  <si>
    <r>
      <t>m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[cp] =</t>
    </r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</si>
  <si>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[gpm] =</t>
    </r>
  </si>
  <si>
    <r>
      <t>L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</si>
  <si>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(-)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[atm]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</si>
  <si>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</si>
  <si>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</si>
  <si>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</si>
  <si>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[ft]</t>
    </r>
  </si>
  <si>
    <r>
      <t>Q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[gpd]</t>
    </r>
  </si>
  <si>
    <t>Time [d]</t>
  </si>
  <si>
    <t>Time [yr]</t>
  </si>
  <si>
    <r>
      <t>K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[ft/d] =</t>
    </r>
  </si>
  <si>
    <t>a skimmer well is assumed</t>
  </si>
  <si>
    <r>
      <t>If Q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and p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then</t>
    </r>
  </si>
  <si>
    <r>
      <t>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</si>
  <si>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</si>
  <si>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 [ft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</si>
  <si>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[yr]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</si>
  <si>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 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</si>
  <si>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[gallon]</t>
    </r>
  </si>
  <si>
    <r>
      <t>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</si>
  <si>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</t>
    </r>
  </si>
  <si>
    <r>
      <t>h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0] =</t>
    </r>
  </si>
  <si>
    <r>
      <t>Q</t>
    </r>
    <r>
      <rPr>
        <vertAlign val="subscript"/>
        <sz val="10"/>
        <rFont val="Arial"/>
        <family val="2"/>
      </rPr>
      <t>air</t>
    </r>
    <r>
      <rPr>
        <sz val="10"/>
        <rFont val="Arial"/>
        <family val="2"/>
      </rPr>
      <t xml:space="preserve"> [scfm] =</t>
    </r>
  </si>
  <si>
    <r>
      <t>R</t>
    </r>
    <r>
      <rPr>
        <vertAlign val="subscript"/>
        <sz val="10"/>
        <rFont val="Arial"/>
        <family val="2"/>
      </rPr>
      <t>Influence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</si>
  <si>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</si>
  <si>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</si>
  <si>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s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</si>
  <si>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[ft] =</t>
    </r>
  </si>
  <si>
    <t>Average drawdown (buildup)</t>
  </si>
  <si>
    <t>within radius of capture</t>
  </si>
  <si>
    <r>
      <t>s</t>
    </r>
    <r>
      <rPr>
        <vertAlign val="subscript"/>
        <sz val="10"/>
        <color indexed="12"/>
        <rFont val="Arial"/>
        <family val="2"/>
      </rPr>
      <t>c</t>
    </r>
    <r>
      <rPr>
        <sz val="10"/>
        <color indexed="12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</si>
  <si>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</si>
  <si>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</si>
  <si>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c</t>
    </r>
    <r>
      <rPr>
        <sz val="10"/>
        <rFont val="Arial"/>
        <family val="2"/>
      </rPr>
      <t xml:space="preserve"> [ft]</t>
    </r>
  </si>
  <si>
    <r>
      <t>x</t>
    </r>
    <r>
      <rPr>
        <sz val="10"/>
        <rFont val="Arial"/>
        <family val="2"/>
      </rPr>
      <t xml:space="preserve"> [ft]</t>
    </r>
  </si>
  <si>
    <r>
      <t xml:space="preserve">Set </t>
    </r>
    <r>
      <rPr>
        <b/>
        <i/>
        <u val="single"/>
        <sz val="11"/>
        <color indexed="10"/>
        <rFont val="Arial"/>
        <family val="2"/>
      </rPr>
      <t>Tools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Option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Calculations</t>
    </r>
    <r>
      <rPr>
        <b/>
        <u val="single"/>
        <sz val="11"/>
        <color indexed="10"/>
        <rFont val="Arial"/>
        <family val="2"/>
      </rPr>
      <t xml:space="preserve"> tab to "Manual." </t>
    </r>
  </si>
  <si>
    <t>Press Ctrl+Shift+S to calculate sheet</t>
  </si>
  <si>
    <t xml:space="preserve">REPRESENTATIVE VAN GENUCHTEN MODEL PARAMETERS </t>
  </si>
  <si>
    <t xml:space="preserve">(AFTER CARSELL AND PARISH, 1988)  </t>
  </si>
  <si>
    <t>Soil type</t>
  </si>
  <si>
    <t>Sample Size</t>
  </si>
  <si>
    <t xml:space="preserve">    van Genuchten N</t>
  </si>
  <si>
    <t>mean</t>
  </si>
  <si>
    <t>std. dev.</t>
  </si>
  <si>
    <t>sample size</t>
  </si>
  <si>
    <t>Clay</t>
  </si>
  <si>
    <t>Clay Loam</t>
  </si>
  <si>
    <t>Loam</t>
  </si>
  <si>
    <t>Loamy Sand</t>
  </si>
  <si>
    <t>Silt</t>
  </si>
  <si>
    <t>Silt Loam</t>
  </si>
  <si>
    <t>Silty Clay</t>
  </si>
  <si>
    <t>Silty Clay Loam</t>
  </si>
  <si>
    <t>Sand</t>
  </si>
  <si>
    <t>Sandy Clay</t>
  </si>
  <si>
    <t>Sandy Clay Loam</t>
  </si>
  <si>
    <t>Sandy Loam</t>
  </si>
  <si>
    <r>
      <t xml:space="preserve">  Saturated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m</t>
    </r>
  </si>
  <si>
    <r>
      <t xml:space="preserve">   Residual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wr</t>
    </r>
  </si>
  <si>
    <r>
      <t xml:space="preserve">van Genuchten   </t>
    </r>
    <r>
      <rPr>
        <sz val="8"/>
        <rFont val="Symbol"/>
        <family val="1"/>
      </rPr>
      <t>a</t>
    </r>
    <r>
      <rPr>
        <sz val="8"/>
        <rFont val="Arial"/>
        <family val="0"/>
      </rPr>
      <t xml:space="preserve"> (ft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</si>
  <si>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r>
      <t>Hydraulic Conductivity K</t>
    </r>
    <r>
      <rPr>
        <vertAlign val="subscript"/>
        <sz val="8"/>
        <rFont val="Arial"/>
        <family val="2"/>
      </rPr>
      <t>ws</t>
    </r>
    <r>
      <rPr>
        <sz val="8"/>
        <rFont val="Arial"/>
        <family val="0"/>
      </rPr>
      <t xml:space="preserve"> (ft/d)</t>
    </r>
  </si>
  <si>
    <r>
      <t xml:space="preserve">(Source: Carsell, R. F. and Parish, R. S., Developing Joint Probability Distributions of Soil Water Retention Characteristics, </t>
    </r>
    <r>
      <rPr>
        <i/>
        <sz val="8"/>
        <rFont val="Arial"/>
        <family val="2"/>
      </rPr>
      <t>Water Resources Research</t>
    </r>
    <r>
      <rPr>
        <sz val="8"/>
        <rFont val="Arial"/>
        <family val="2"/>
      </rPr>
      <t>, 24(5), pp. 755-769, 1988.)</t>
    </r>
  </si>
  <si>
    <t>(c) 2003 American Petroleum Institute.  Duplication or retransmission of this workbook without the express authoirzation of the Institute is prohibited.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</si>
</sst>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0000000000"/>
    <numFmt numFmtId="169" formatCode="0.00000E+00"/>
    <numFmt numFmtId="170" formatCode="0.000000"/>
    <numFmt numFmtId="171" formatCode="0.0000E+00"/>
    <numFmt numFmtId="172" formatCode="0.000E+00"/>
    <numFmt numFmtId="173" formatCode="0.00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2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sz val="10"/>
      <name val="Symbol"/>
      <family val="1"/>
    </font>
    <font>
      <u val="single"/>
      <sz val="10"/>
      <name val="Arial"/>
      <family val="2"/>
    </font>
    <font>
      <sz val="8.25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u val="double"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u val="double"/>
      <sz val="14"/>
      <color indexed="10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0"/>
      <color indexed="12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Symbol"/>
      <family val="1"/>
    </font>
    <font>
      <b/>
      <vertAlign val="subscript"/>
      <sz val="11"/>
      <color indexed="12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Tahoma"/>
      <family val="2"/>
    </font>
    <font>
      <vertAlign val="subscript"/>
      <sz val="8.25"/>
      <name val="Arial"/>
      <family val="2"/>
    </font>
    <font>
      <sz val="12"/>
      <color indexed="8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vertAlign val="subscript"/>
      <sz val="8"/>
      <name val="Arial"/>
      <family val="2"/>
    </font>
    <font>
      <b/>
      <u val="single"/>
      <sz val="12"/>
      <color indexed="10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vertAlign val="superscript"/>
      <sz val="10"/>
      <color indexed="17"/>
      <name val="Arial"/>
      <family val="2"/>
    </font>
    <font>
      <b/>
      <u val="single"/>
      <sz val="10"/>
      <color indexed="12"/>
      <name val="Arial"/>
      <family val="2"/>
    </font>
    <font>
      <vertAlign val="subscript"/>
      <sz val="10"/>
      <color indexed="17"/>
      <name val="Arial"/>
      <family val="2"/>
    </font>
    <font>
      <u val="single"/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b/>
      <i/>
      <u val="single"/>
      <sz val="11"/>
      <color indexed="10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6" fillId="2" borderId="2" xfId="0" applyFont="1" applyFill="1" applyBorder="1" applyAlignment="1">
      <alignment horizontal="left"/>
    </xf>
    <xf numFmtId="164" fontId="0" fillId="4" borderId="5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 applyProtection="1">
      <alignment horizontal="center"/>
      <protection locked="0"/>
    </xf>
    <xf numFmtId="164" fontId="0" fillId="4" borderId="7" xfId="0" applyNumberFormat="1" applyFont="1" applyFill="1" applyBorder="1" applyAlignment="1" applyProtection="1">
      <alignment horizontal="center"/>
      <protection locked="0"/>
    </xf>
    <xf numFmtId="164" fontId="0" fillId="4" borderId="5" xfId="0" applyNumberFormat="1" applyFont="1" applyFill="1" applyBorder="1" applyAlignment="1">
      <alignment horizontal="center"/>
    </xf>
    <xf numFmtId="164" fontId="20" fillId="2" borderId="2" xfId="0" applyNumberFormat="1" applyFont="1" applyFill="1" applyBorder="1" applyAlignment="1">
      <alignment horizontal="left"/>
    </xf>
    <xf numFmtId="164" fontId="0" fillId="2" borderId="3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18" fillId="5" borderId="0" xfId="0" applyNumberFormat="1" applyFont="1" applyFill="1" applyBorder="1" applyAlignment="1">
      <alignment horizontal="left"/>
    </xf>
    <xf numFmtId="164" fontId="0" fillId="5" borderId="0" xfId="0" applyNumberFormat="1" applyFont="1" applyFill="1" applyBorder="1" applyAlignment="1">
      <alignment horizontal="left"/>
    </xf>
    <xf numFmtId="164" fontId="20" fillId="5" borderId="0" xfId="0" applyNumberFormat="1" applyFont="1" applyFill="1" applyBorder="1" applyAlignment="1">
      <alignment horizontal="left"/>
    </xf>
    <xf numFmtId="164" fontId="20" fillId="4" borderId="8" xfId="0" applyNumberFormat="1" applyFont="1" applyFill="1" applyBorder="1" applyAlignment="1">
      <alignment horizontal="left"/>
    </xf>
    <xf numFmtId="164" fontId="20" fillId="4" borderId="9" xfId="0" applyNumberFormat="1" applyFont="1" applyFill="1" applyBorder="1" applyAlignment="1">
      <alignment horizontal="left"/>
    </xf>
    <xf numFmtId="164" fontId="0" fillId="4" borderId="7" xfId="0" applyNumberFormat="1" applyFont="1" applyFill="1" applyBorder="1" applyAlignment="1">
      <alignment horizontal="center"/>
    </xf>
    <xf numFmtId="164" fontId="23" fillId="4" borderId="2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vertical="center"/>
    </xf>
    <xf numFmtId="11" fontId="0" fillId="5" borderId="0" xfId="0" applyNumberFormat="1" applyFont="1" applyFill="1" applyBorder="1" applyAlignment="1">
      <alignment horizontal="center" vertical="center"/>
    </xf>
    <xf numFmtId="11" fontId="0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11" fontId="18" fillId="5" borderId="0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center" vertical="center"/>
    </xf>
    <xf numFmtId="11" fontId="12" fillId="4" borderId="10" xfId="0" applyNumberFormat="1" applyFont="1" applyFill="1" applyBorder="1" applyAlignment="1">
      <alignment horizontal="center" vertical="center"/>
    </xf>
    <xf numFmtId="11" fontId="14" fillId="4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164" fontId="29" fillId="2" borderId="8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11" fontId="12" fillId="2" borderId="10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1" fontId="14" fillId="2" borderId="10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0" fillId="4" borderId="2" xfId="0" applyFont="1" applyFill="1" applyBorder="1" applyAlignment="1">
      <alignment/>
    </xf>
    <xf numFmtId="0" fontId="0" fillId="4" borderId="4" xfId="0" applyFill="1" applyBorder="1" applyAlignment="1">
      <alignment/>
    </xf>
    <xf numFmtId="164" fontId="0" fillId="0" borderId="0" xfId="0" applyNumberFormat="1" applyAlignment="1">
      <alignment horizontal="center"/>
    </xf>
    <xf numFmtId="11" fontId="12" fillId="2" borderId="8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5" borderId="0" xfId="0" applyFill="1" applyAlignment="1">
      <alignment/>
    </xf>
    <xf numFmtId="167" fontId="0" fillId="5" borderId="0" xfId="0" applyNumberFormat="1" applyFill="1" applyAlignment="1">
      <alignment horizontal="center"/>
    </xf>
    <xf numFmtId="164" fontId="0" fillId="5" borderId="0" xfId="0" applyNumberFormat="1" applyFill="1" applyBorder="1" applyAlignment="1" applyProtection="1">
      <alignment horizontal="center"/>
      <protection locked="0"/>
    </xf>
    <xf numFmtId="167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/>
    </xf>
    <xf numFmtId="167" fontId="0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167" fontId="10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0" fontId="17" fillId="5" borderId="0" xfId="0" applyFont="1" applyFill="1" applyBorder="1" applyAlignment="1">
      <alignment horizontal="center"/>
    </xf>
    <xf numFmtId="0" fontId="12" fillId="5" borderId="0" xfId="0" applyFont="1" applyFill="1" applyBorder="1" applyAlignment="1" applyProtection="1">
      <alignment horizontal="left"/>
      <protection locked="0"/>
    </xf>
    <xf numFmtId="0" fontId="16" fillId="5" borderId="0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167" fontId="0" fillId="3" borderId="19" xfId="0" applyNumberFormat="1" applyFill="1" applyBorder="1" applyAlignment="1">
      <alignment horizontal="center"/>
    </xf>
    <xf numFmtId="170" fontId="0" fillId="3" borderId="19" xfId="0" applyNumberForma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4" fontId="0" fillId="4" borderId="0" xfId="0" applyNumberFormat="1" applyFill="1" applyBorder="1" applyAlignment="1" applyProtection="1">
      <alignment horizontal="center"/>
      <protection locked="0"/>
    </xf>
    <xf numFmtId="164" fontId="0" fillId="4" borderId="10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/>
    </xf>
    <xf numFmtId="0" fontId="10" fillId="2" borderId="0" xfId="0" applyFont="1" applyFill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0" fillId="5" borderId="0" xfId="0" applyFill="1" applyAlignment="1">
      <alignment horizontal="center"/>
    </xf>
    <xf numFmtId="0" fontId="9" fillId="5" borderId="0" xfId="0" applyFont="1" applyFill="1" applyAlignment="1">
      <alignment horizontal="center"/>
    </xf>
    <xf numFmtId="170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167" fontId="0" fillId="0" borderId="0" xfId="0" applyNumberFormat="1" applyAlignment="1">
      <alignment/>
    </xf>
    <xf numFmtId="0" fontId="19" fillId="5" borderId="0" xfId="0" applyFont="1" applyFill="1" applyBorder="1" applyAlignment="1">
      <alignment horizontal="left"/>
    </xf>
    <xf numFmtId="11" fontId="12" fillId="4" borderId="9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1" fontId="14" fillId="2" borderId="9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1" fontId="35" fillId="4" borderId="8" xfId="0" applyNumberFormat="1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center"/>
    </xf>
    <xf numFmtId="164" fontId="14" fillId="4" borderId="10" xfId="0" applyNumberFormat="1" applyFont="1" applyFill="1" applyBorder="1" applyAlignment="1">
      <alignment horizontal="center"/>
    </xf>
    <xf numFmtId="164" fontId="14" fillId="4" borderId="9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19" fillId="0" borderId="0" xfId="0" applyFont="1" applyAlignment="1">
      <alignment horizontal="left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2" borderId="8" xfId="0" applyFill="1" applyBorder="1" applyAlignment="1">
      <alignment horizontal="center"/>
    </xf>
    <xf numFmtId="0" fontId="16" fillId="4" borderId="8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44" fillId="5" borderId="0" xfId="0" applyFont="1" applyFill="1" applyBorder="1" applyAlignment="1">
      <alignment horizontal="left"/>
    </xf>
    <xf numFmtId="0" fontId="28" fillId="5" borderId="8" xfId="0" applyFont="1" applyFill="1" applyBorder="1" applyAlignment="1">
      <alignment/>
    </xf>
    <xf numFmtId="0" fontId="0" fillId="5" borderId="5" xfId="0" applyFill="1" applyBorder="1" applyAlignment="1">
      <alignment/>
    </xf>
    <xf numFmtId="0" fontId="28" fillId="5" borderId="9" xfId="0" applyFont="1" applyFill="1" applyBorder="1" applyAlignment="1">
      <alignment/>
    </xf>
    <xf numFmtId="0" fontId="0" fillId="5" borderId="7" xfId="0" applyFill="1" applyBorder="1" applyAlignment="1">
      <alignment/>
    </xf>
    <xf numFmtId="11" fontId="0" fillId="5" borderId="0" xfId="0" applyNumberFormat="1" applyFill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8" fillId="5" borderId="8" xfId="0" applyFont="1" applyFill="1" applyBorder="1" applyAlignment="1">
      <alignment/>
    </xf>
    <xf numFmtId="0" fontId="18" fillId="5" borderId="5" xfId="0" applyFont="1" applyFill="1" applyBorder="1" applyAlignment="1">
      <alignment/>
    </xf>
    <xf numFmtId="0" fontId="18" fillId="5" borderId="9" xfId="0" applyFont="1" applyFill="1" applyBorder="1" applyAlignment="1">
      <alignment/>
    </xf>
    <xf numFmtId="0" fontId="18" fillId="5" borderId="7" xfId="0" applyFont="1" applyFill="1" applyBorder="1" applyAlignment="1">
      <alignment/>
    </xf>
    <xf numFmtId="0" fontId="46" fillId="6" borderId="2" xfId="0" applyFont="1" applyFill="1" applyBorder="1" applyAlignment="1">
      <alignment horizontal="center"/>
    </xf>
    <xf numFmtId="2" fontId="18" fillId="6" borderId="3" xfId="0" applyNumberFormat="1" applyFon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164" fontId="0" fillId="4" borderId="3" xfId="0" applyNumberFormat="1" applyFont="1" applyFill="1" applyBorder="1" applyAlignment="1" applyProtection="1">
      <alignment horizontal="center" vertical="center"/>
      <protection locked="0"/>
    </xf>
    <xf numFmtId="164" fontId="0" fillId="4" borderId="5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7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164" fontId="23" fillId="4" borderId="19" xfId="0" applyNumberFormat="1" applyFon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5" xfId="0" applyNumberFormat="1" applyFill="1" applyBorder="1" applyAlignment="1" applyProtection="1">
      <alignment horizontal="center"/>
      <protection locked="0"/>
    </xf>
    <xf numFmtId="0" fontId="0" fillId="0" borderId="0" xfId="21">
      <alignment/>
      <protection/>
    </xf>
    <xf numFmtId="0" fontId="8" fillId="0" borderId="0" xfId="21" applyFont="1" applyAlignment="1">
      <alignment horizontal="center" vertical="center" wrapText="1"/>
      <protection/>
    </xf>
    <xf numFmtId="0" fontId="0" fillId="0" borderId="3" xfId="2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19" xfId="21" applyFill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8" fillId="0" borderId="20" xfId="21" applyFont="1" applyBorder="1" applyAlignment="1">
      <alignment horizontal="center" vertical="center"/>
      <protection/>
    </xf>
    <xf numFmtId="0" fontId="8" fillId="0" borderId="19" xfId="21" applyFont="1" applyBorder="1" applyAlignment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0" fontId="0" fillId="0" borderId="19" xfId="21" applyFill="1" applyBorder="1">
      <alignment/>
      <protection/>
    </xf>
    <xf numFmtId="164" fontId="8" fillId="0" borderId="19" xfId="21" applyNumberFormat="1" applyFont="1" applyBorder="1" applyAlignment="1">
      <alignment horizontal="center" vertical="center"/>
      <protection/>
    </xf>
    <xf numFmtId="165" fontId="8" fillId="0" borderId="19" xfId="21" applyNumberFormat="1" applyFont="1" applyBorder="1" applyAlignment="1">
      <alignment horizontal="center" vertical="center"/>
      <protection/>
    </xf>
    <xf numFmtId="1" fontId="8" fillId="0" borderId="19" xfId="21" applyNumberFormat="1" applyFont="1" applyBorder="1" applyAlignment="1">
      <alignment horizontal="center" vertical="center"/>
      <protection/>
    </xf>
    <xf numFmtId="2" fontId="8" fillId="0" borderId="19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17" fillId="0" borderId="0" xfId="21" applyFont="1" applyAlignment="1">
      <alignment horizontal="center"/>
      <protection/>
    </xf>
    <xf numFmtId="0" fontId="17" fillId="0" borderId="21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center" wrapText="1"/>
      <protection/>
    </xf>
    <xf numFmtId="0" fontId="8" fillId="0" borderId="3" xfId="21" applyFont="1" applyBorder="1" applyAlignment="1">
      <alignment horizontal="center" vertical="center" wrapText="1"/>
      <protection/>
    </xf>
    <xf numFmtId="0" fontId="8" fillId="0" borderId="0" xfId="21" applyFont="1" applyAlignment="1">
      <alignment horizontal="left" vertical="top" wrapText="1"/>
      <protection/>
    </xf>
    <xf numFmtId="0" fontId="8" fillId="0" borderId="4" xfId="21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center" vertical="center" wrapText="1"/>
      <protection/>
    </xf>
    <xf numFmtId="0" fontId="8" fillId="0" borderId="20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P paramet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2575"/>
          <c:w val="0.89525"/>
          <c:h val="0.8812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Calcs'!$C$40:$C$65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Calcs'!$D$40:$D$65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4176410"/>
        <c:axId val="17825643"/>
      </c:scatterChart>
      <c:valAx>
        <c:axId val="54176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Monitoring well LNAPL thickness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7825643"/>
        <c:crosses val="autoZero"/>
        <c:crossBetween val="midCat"/>
        <c:dispUnits/>
      </c:valAx>
      <c:valAx>
        <c:axId val="178256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Specific Volume [ft] (red)/
Relative Permeability (blue)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41764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935"/>
          <c:w val="0.91775"/>
          <c:h val="0.906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Charts'!$N$2:$N$54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'Distribution Charts'!$M$2:$M$54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Charts'!$S$3:$S$53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Charts'!$P$3:$P$53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3"/>
          <c:order val="2"/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Charts'!$V$3:$V$4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Charts'!$W$3:$W$4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3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Charts'!$W$10:$W$12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'Distribution Charts'!$V$10:$V$12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6"/>
          <c:order val="4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Charts'!$W$15:$W$18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'Distribution Charts'!$V$15:$V$18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7"/>
          <c:order val="5"/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Charts'!$W$20:$W$24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Charts'!$V$20:$V$24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Charts'!$O$3:$O$53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Charts'!$M$3:$M$53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4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Charts'!$Q$3:$Q$53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Charts'!$P$3:$P$53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26213060"/>
        <c:axId val="34590949"/>
      </c:scatterChart>
      <c:valAx>
        <c:axId val="2621306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Saturation (red, blue)/Relative Permeability (black)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590949"/>
        <c:crosses val="max"/>
        <c:crossBetween val="midCat"/>
        <c:dispUnits/>
      </c:valAx>
      <c:valAx>
        <c:axId val="3459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21306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25"/>
          <c:y val="0.042"/>
          <c:w val="0.878"/>
          <c:h val="0.886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Well!$F$38:$F$80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Well!$Q$9:$Q$10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2883086"/>
        <c:axId val="50403455"/>
      </c:scatterChart>
      <c:valAx>
        <c:axId val="42883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0403455"/>
        <c:crosses val="autoZero"/>
        <c:crossBetween val="midCat"/>
        <c:dispUnits/>
      </c:valAx>
      <c:valAx>
        <c:axId val="50403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LNAPL Thickness,  b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28830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42"/>
          <c:w val="0.8765"/>
          <c:h val="0.89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xVal>
          <c:yVal>
            <c:numRef>
              <c:f>Well!$H$38:$H$81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Well!$P$14:$P$15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Well!$Q$14:$Q$15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Well!$R$9:$R$10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0977912"/>
        <c:axId val="56148025"/>
      </c:scatterChart>
      <c:valAx>
        <c:axId val="50977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6148025"/>
        <c:crosses val="autoZero"/>
        <c:crossBetween val="midCat"/>
        <c:dispUnits/>
      </c:valAx>
      <c:valAx>
        <c:axId val="56148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Volume [gallons]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9779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7975"/>
          <c:w val="0.93025"/>
          <c:h val="0.920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Well!$I$38:$I$80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Well!$S$9:$S$10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5570178"/>
        <c:axId val="51696147"/>
      </c:scatterChart>
      <c:valAx>
        <c:axId val="35570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1696147"/>
        <c:crosses val="max"/>
        <c:crossBetween val="midCat"/>
        <c:dispUnits/>
      </c:valAx>
      <c:valAx>
        <c:axId val="5169614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557017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"/>
          <c:w val="0.928"/>
          <c:h val="0.948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Trench!$C$29:$C$69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Trench!$E$29:$E$69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Trench!$O$16:$O$17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Trench!$P$16:$P$17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2612140"/>
        <c:axId val="26638349"/>
      </c:scatterChart>
      <c:valAx>
        <c:axId val="6261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638349"/>
        <c:crosses val="autoZero"/>
        <c:crossBetween val="midCat"/>
        <c:dispUnits/>
      </c:valAx>
      <c:valAx>
        <c:axId val="26638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Thickness b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24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626121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"/>
          <c:w val="0.886"/>
          <c:h val="0.917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Trench!$C$29:$C$69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Trench!$F$29:$F$69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Trench!$O$9:$O$10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8418550"/>
        <c:axId val="10222631"/>
      </c:scatterChart>
      <c:valAx>
        <c:axId val="38418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222631"/>
        <c:crosses val="autoZero"/>
        <c:crossBetween val="midCat"/>
        <c:dispUnits/>
      </c:valAx>
      <c:valAx>
        <c:axId val="10222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LNAPL Volume [gallon]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4185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82"/>
          <c:w val="0.8935"/>
          <c:h val="0.918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Trench!$C$29:$C$69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Trench!$G$29:$G$69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24894816"/>
        <c:axId val="22726753"/>
      </c:scatterChart>
      <c:valAx>
        <c:axId val="24894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726753"/>
        <c:crosses val="max"/>
        <c:crossBetween val="midCat"/>
        <c:dispUnits/>
      </c:valAx>
      <c:valAx>
        <c:axId val="2272675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489481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57150</xdr:rowOff>
    </xdr:from>
    <xdr:to>
      <xdr:col>9</xdr:col>
      <xdr:colOff>476250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61950" y="1285875"/>
        <a:ext cx="59912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85725</xdr:rowOff>
    </xdr:from>
    <xdr:to>
      <xdr:col>8</xdr:col>
      <xdr:colOff>38100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190500" y="866775"/>
        <a:ext cx="47244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0</xdr:row>
      <xdr:rowOff>114300</xdr:rowOff>
    </xdr:from>
    <xdr:to>
      <xdr:col>8</xdr:col>
      <xdr:colOff>123825</xdr:colOff>
      <xdr:row>4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952875" y="114300"/>
          <a:ext cx="1047750" cy="828675"/>
        </a:xfrm>
        <a:prstGeom prst="rect">
          <a:avLst/>
        </a:prstGeom>
        <a:solidFill>
          <a:srgbClr val="FFFF99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Enter b</a:t>
          </a:r>
          <a:r>
            <a:rPr lang="en-US" cap="none" sz="1100" b="0" i="1" u="none" baseline="-25000">
              <a:latin typeface="Arial"/>
              <a:ea typeface="Arial"/>
              <a:cs typeface="Arial"/>
            </a:rPr>
            <a:t>o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 value here to plot corrsponding profiles</a:t>
          </a:r>
        </a:p>
      </xdr:txBody>
    </xdr:sp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257175</xdr:colOff>
      <xdr:row>1</xdr:row>
      <xdr:rowOff>19050</xdr:rowOff>
    </xdr:to>
    <xdr:sp>
      <xdr:nvSpPr>
        <xdr:cNvPr id="3" name="Line 4"/>
        <xdr:cNvSpPr>
          <a:spLocks/>
        </xdr:cNvSpPr>
      </xdr:nvSpPr>
      <xdr:spPr>
        <a:xfrm flipH="1" flipV="1">
          <a:off x="3609975" y="114300"/>
          <a:ext cx="304800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47625</xdr:rowOff>
    </xdr:from>
    <xdr:to>
      <xdr:col>5</xdr:col>
      <xdr:colOff>114300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66700" y="1962150"/>
        <a:ext cx="28956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10</xdr:row>
      <xdr:rowOff>47625</xdr:rowOff>
    </xdr:from>
    <xdr:to>
      <xdr:col>9</xdr:col>
      <xdr:colOff>180975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3162300" y="1962150"/>
        <a:ext cx="2857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10</xdr:row>
      <xdr:rowOff>47625</xdr:rowOff>
    </xdr:from>
    <xdr:to>
      <xdr:col>13</xdr:col>
      <xdr:colOff>581025</xdr:colOff>
      <xdr:row>24</xdr:row>
      <xdr:rowOff>133350</xdr:rowOff>
    </xdr:to>
    <xdr:graphicFrame>
      <xdr:nvGraphicFramePr>
        <xdr:cNvPr id="3" name="Chart 3"/>
        <xdr:cNvGraphicFramePr/>
      </xdr:nvGraphicFramePr>
      <xdr:xfrm>
        <a:off x="6019800" y="1962150"/>
        <a:ext cx="29527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142875</xdr:rowOff>
    </xdr:from>
    <xdr:to>
      <xdr:col>4</xdr:col>
      <xdr:colOff>314325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76225" y="2105025"/>
        <a:ext cx="27622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10</xdr:row>
      <xdr:rowOff>142875</xdr:rowOff>
    </xdr:from>
    <xdr:to>
      <xdr:col>7</xdr:col>
      <xdr:colOff>571500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3076575" y="2105025"/>
        <a:ext cx="27622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10</xdr:row>
      <xdr:rowOff>152400</xdr:rowOff>
    </xdr:from>
    <xdr:to>
      <xdr:col>12</xdr:col>
      <xdr:colOff>257175</xdr:colOff>
      <xdr:row>22</xdr:row>
      <xdr:rowOff>142875</xdr:rowOff>
    </xdr:to>
    <xdr:graphicFrame>
      <xdr:nvGraphicFramePr>
        <xdr:cNvPr id="3" name="Chart 3"/>
        <xdr:cNvGraphicFramePr/>
      </xdr:nvGraphicFramePr>
      <xdr:xfrm>
        <a:off x="5895975" y="2114550"/>
        <a:ext cx="26765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628650</xdr:colOff>
      <xdr:row>0</xdr:row>
      <xdr:rowOff>0</xdr:rowOff>
    </xdr:from>
    <xdr:to>
      <xdr:col>9</xdr:col>
      <xdr:colOff>342900</xdr:colOff>
      <xdr:row>10</xdr:row>
      <xdr:rowOff>85725</xdr:rowOff>
    </xdr:to>
    <xdr:grpSp>
      <xdr:nvGrpSpPr>
        <xdr:cNvPr id="4" name="Group 9"/>
        <xdr:cNvGrpSpPr>
          <a:grpSpLocks/>
        </xdr:cNvGrpSpPr>
      </xdr:nvGrpSpPr>
      <xdr:grpSpPr>
        <a:xfrm>
          <a:off x="4200525" y="0"/>
          <a:ext cx="2628900" cy="2047875"/>
          <a:chOff x="441" y="0"/>
          <a:chExt cx="276" cy="216"/>
        </a:xfrm>
        <a:solidFill>
          <a:srgbClr val="FFFFFF"/>
        </a:solidFill>
      </xdr:grpSpPr>
      <xdr:grpSp>
        <xdr:nvGrpSpPr>
          <xdr:cNvPr id="5" name="Group 8"/>
          <xdr:cNvGrpSpPr>
            <a:grpSpLocks/>
          </xdr:cNvGrpSpPr>
        </xdr:nvGrpSpPr>
        <xdr:grpSpPr>
          <a:xfrm>
            <a:off x="441" y="0"/>
            <a:ext cx="276" cy="216"/>
            <a:chOff x="509" y="3"/>
            <a:chExt cx="276" cy="215"/>
          </a:xfrm>
          <a:solidFill>
            <a:srgbClr val="FFFFFF"/>
          </a:solidFill>
        </xdr:grpSpPr>
        <xdr:pic>
          <xdr:nvPicPr>
            <xdr:cNvPr id="6" name="Picture 4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509" y="3"/>
              <a:ext cx="276" cy="215"/>
            </a:xfrm>
            <a:prstGeom prst="rect">
              <a:avLst/>
            </a:prstGeom>
            <a:solidFill>
              <a:srgbClr val="CCFFCC"/>
            </a:solidFill>
            <a:ln w="9525" cmpd="sng">
              <a:noFill/>
            </a:ln>
          </xdr:spPr>
        </xdr:pic>
        <xdr:sp>
          <xdr:nvSpPr>
            <xdr:cNvPr id="7" name="Oval 5"/>
            <xdr:cNvSpPr>
              <a:spLocks noChangeAspect="1"/>
            </xdr:cNvSpPr>
          </xdr:nvSpPr>
          <xdr:spPr>
            <a:xfrm>
              <a:off x="716" y="174"/>
              <a:ext cx="7" cy="7"/>
            </a:xfrm>
            <a:prstGeom prst="ellipse">
              <a:avLst/>
            </a:prstGeom>
            <a:solidFill>
              <a:srgbClr val="000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6"/>
            <xdr:cNvSpPr>
              <a:spLocks noChangeAspect="1"/>
            </xdr:cNvSpPr>
          </xdr:nvSpPr>
          <xdr:spPr>
            <a:xfrm flipV="1">
              <a:off x="710" y="157"/>
              <a:ext cx="25" cy="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Box 7"/>
          <xdr:cNvSpPr txBox="1">
            <a:spLocks noChangeArrowheads="1"/>
          </xdr:cNvSpPr>
        </xdr:nvSpPr>
        <xdr:spPr>
          <a:xfrm>
            <a:off x="663" y="143"/>
            <a:ext cx="2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9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20</xdr:col>
      <xdr:colOff>209550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23850"/>
          <a:ext cx="6305550" cy="653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438150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3850"/>
          <a:ext cx="47053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552450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99085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16</xdr:col>
      <xdr:colOff>476250</xdr:colOff>
      <xdr:row>34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23850"/>
          <a:ext cx="596265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24</xdr:col>
      <xdr:colOff>476250</xdr:colOff>
      <xdr:row>32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323850"/>
          <a:ext cx="413385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10"/>
  <sheetViews>
    <sheetView tabSelected="1" workbookViewId="0" topLeftCell="A2">
      <selection activeCell="D9" sqref="D9"/>
    </sheetView>
  </sheetViews>
  <sheetFormatPr defaultColWidth="9.140625" defaultRowHeight="18" customHeight="1"/>
  <cols>
    <col min="1" max="1" width="2.8515625" style="5" customWidth="1"/>
    <col min="2" max="2" width="14.140625" style="5" customWidth="1"/>
    <col min="3" max="3" width="15.28125" style="5" customWidth="1"/>
    <col min="4" max="5" width="14.00390625" style="5" customWidth="1"/>
    <col min="6" max="6" width="5.7109375" style="5" customWidth="1"/>
    <col min="7" max="8" width="12.7109375" style="5" customWidth="1"/>
    <col min="9" max="9" width="30.140625" style="5" customWidth="1"/>
    <col min="10" max="10" width="2.28125" style="5" customWidth="1"/>
    <col min="11" max="13" width="12.7109375" style="5" customWidth="1"/>
    <col min="14" max="14" width="16.28125" style="5" customWidth="1"/>
    <col min="15" max="16384" width="12.7109375" style="5" customWidth="1"/>
  </cols>
  <sheetData>
    <row r="1" spans="1:13" s="1" customFormat="1" ht="18" customHeight="1">
      <c r="A1" s="64"/>
      <c r="B1" s="65" t="s">
        <v>50</v>
      </c>
      <c r="C1" s="66"/>
      <c r="D1" s="66"/>
      <c r="E1" s="66"/>
      <c r="F1" s="66"/>
      <c r="G1" s="66"/>
      <c r="H1" s="67"/>
      <c r="I1" s="67"/>
      <c r="J1" s="68"/>
      <c r="K1" s="58"/>
      <c r="L1" s="58"/>
      <c r="M1" s="58"/>
    </row>
    <row r="2" spans="1:14" s="1" customFormat="1" ht="18" customHeight="1">
      <c r="A2" s="46"/>
      <c r="B2" s="22" t="s">
        <v>23</v>
      </c>
      <c r="C2" s="23"/>
      <c r="D2" s="24"/>
      <c r="E2" s="24"/>
      <c r="F2" s="24"/>
      <c r="G2" s="24"/>
      <c r="H2" s="32"/>
      <c r="I2" s="32"/>
      <c r="J2" s="69"/>
      <c r="K2" s="58"/>
      <c r="L2" s="58"/>
      <c r="M2"/>
      <c r="N2"/>
    </row>
    <row r="3" spans="1:14" s="1" customFormat="1" ht="18" customHeight="1">
      <c r="A3" s="46"/>
      <c r="B3" s="27"/>
      <c r="C3" s="24"/>
      <c r="D3" s="24"/>
      <c r="E3" s="24"/>
      <c r="F3" s="24"/>
      <c r="G3" s="24"/>
      <c r="H3" s="32"/>
      <c r="I3" s="32"/>
      <c r="J3" s="69"/>
      <c r="K3" s="58"/>
      <c r="L3" s="58"/>
      <c r="M3"/>
      <c r="N3"/>
    </row>
    <row r="4" spans="1:14" s="1" customFormat="1" ht="18" customHeight="1">
      <c r="A4" s="46"/>
      <c r="B4" s="28" t="s">
        <v>26</v>
      </c>
      <c r="C4" s="18"/>
      <c r="D4" s="24"/>
      <c r="E4" s="24"/>
      <c r="F4" s="24"/>
      <c r="G4" s="50" t="s">
        <v>30</v>
      </c>
      <c r="H4" s="51"/>
      <c r="I4" s="32"/>
      <c r="J4" s="69"/>
      <c r="K4" s="58"/>
      <c r="L4" s="58"/>
      <c r="M4"/>
      <c r="N4"/>
    </row>
    <row r="5" spans="1:14" s="1" customFormat="1" ht="18" customHeight="1">
      <c r="A5" s="46"/>
      <c r="B5" s="29" t="s">
        <v>68</v>
      </c>
      <c r="C5" s="30"/>
      <c r="D5" s="24"/>
      <c r="E5" s="24"/>
      <c r="F5" s="24"/>
      <c r="G5" s="81" t="s">
        <v>2</v>
      </c>
      <c r="H5" s="82">
        <f>1-1/C10</f>
        <v>0.75</v>
      </c>
      <c r="I5" s="56" t="s">
        <v>31</v>
      </c>
      <c r="J5" s="69"/>
      <c r="K5" s="58"/>
      <c r="L5" s="58"/>
      <c r="M5"/>
      <c r="N5"/>
    </row>
    <row r="6" spans="1:14" s="1" customFormat="1" ht="18" customHeight="1">
      <c r="A6" s="46"/>
      <c r="B6" s="31" t="s">
        <v>27</v>
      </c>
      <c r="C6" s="174">
        <v>3</v>
      </c>
      <c r="D6" s="24"/>
      <c r="E6" s="24"/>
      <c r="F6" s="24"/>
      <c r="G6" s="54" t="s">
        <v>17</v>
      </c>
      <c r="H6" s="55">
        <f>C11*C17*C18/C19</f>
        <v>3.9</v>
      </c>
      <c r="I6" s="56" t="s">
        <v>77</v>
      </c>
      <c r="J6" s="69"/>
      <c r="K6" s="58"/>
      <c r="L6" s="58"/>
      <c r="M6"/>
      <c r="N6"/>
    </row>
    <row r="7" spans="1:13" s="1" customFormat="1" ht="18" customHeight="1">
      <c r="A7" s="46"/>
      <c r="B7" s="27"/>
      <c r="C7" s="24"/>
      <c r="D7" s="24"/>
      <c r="E7" s="24"/>
      <c r="F7" s="24"/>
      <c r="G7" s="54" t="s">
        <v>18</v>
      </c>
      <c r="H7" s="55">
        <f>C11*(1-C17)*C18/C20</f>
        <v>1.3</v>
      </c>
      <c r="I7" s="56" t="s">
        <v>78</v>
      </c>
      <c r="J7" s="69"/>
      <c r="K7" s="58"/>
      <c r="L7" s="58"/>
      <c r="M7" s="58"/>
    </row>
    <row r="8" spans="1:13" s="1" customFormat="1" ht="18" customHeight="1">
      <c r="A8" s="46"/>
      <c r="B8" s="38" t="s">
        <v>9</v>
      </c>
      <c r="C8" s="39"/>
      <c r="D8" s="32"/>
      <c r="E8" s="32"/>
      <c r="F8" s="32"/>
      <c r="G8" s="52" t="s">
        <v>20</v>
      </c>
      <c r="H8" s="53">
        <f>(1-C17)*C6</f>
        <v>0.75</v>
      </c>
      <c r="I8" s="56" t="s">
        <v>69</v>
      </c>
      <c r="J8" s="69"/>
      <c r="K8" s="58"/>
      <c r="L8" s="58"/>
      <c r="M8" s="58"/>
    </row>
    <row r="9" spans="1:13" s="1" customFormat="1" ht="18" customHeight="1">
      <c r="A9" s="46"/>
      <c r="B9" s="128" t="s">
        <v>28</v>
      </c>
      <c r="C9" s="175">
        <v>0.4</v>
      </c>
      <c r="D9" s="35" t="s">
        <v>11</v>
      </c>
      <c r="E9" s="32"/>
      <c r="F9" s="32"/>
      <c r="G9" s="52" t="s">
        <v>19</v>
      </c>
      <c r="H9" s="53">
        <f>-C17*C6</f>
        <v>-2.25</v>
      </c>
      <c r="I9" s="56" t="s">
        <v>70</v>
      </c>
      <c r="J9" s="69"/>
      <c r="K9" s="59"/>
      <c r="L9" s="58"/>
      <c r="M9" s="58"/>
    </row>
    <row r="10" spans="1:13" s="2" customFormat="1" ht="18" customHeight="1">
      <c r="A10" s="47"/>
      <c r="B10" s="40" t="s">
        <v>3</v>
      </c>
      <c r="C10" s="176">
        <v>4</v>
      </c>
      <c r="D10" s="36" t="s">
        <v>29</v>
      </c>
      <c r="E10" s="33"/>
      <c r="F10" s="33"/>
      <c r="G10" s="133" t="s">
        <v>56</v>
      </c>
      <c r="H10" s="53">
        <f>zm(C6,C17,C10,C11*C17*C18/C19,C11*(1-C17)*C18/C20,C12,C13,C14)</f>
        <v>2.079999999999999</v>
      </c>
      <c r="I10" s="56" t="s">
        <v>71</v>
      </c>
      <c r="J10" s="70"/>
      <c r="K10" s="59"/>
      <c r="L10" s="42"/>
      <c r="M10" s="42"/>
    </row>
    <row r="11" spans="1:13" s="2" customFormat="1" ht="18" customHeight="1">
      <c r="A11" s="47"/>
      <c r="B11" s="41" t="s">
        <v>15</v>
      </c>
      <c r="C11" s="177">
        <v>2</v>
      </c>
      <c r="D11" s="36" t="s">
        <v>76</v>
      </c>
      <c r="E11" s="33"/>
      <c r="F11" s="33"/>
      <c r="G11" s="132" t="s">
        <v>55</v>
      </c>
      <c r="H11" s="53">
        <f>H5*(1-0.5^(1/H5))/(1-H5)</f>
        <v>1.8094492110238505</v>
      </c>
      <c r="I11" s="56" t="s">
        <v>33</v>
      </c>
      <c r="J11" s="70"/>
      <c r="K11" s="60"/>
      <c r="L11" s="61"/>
      <c r="M11" s="42"/>
    </row>
    <row r="12" spans="1:13" s="2" customFormat="1" ht="18" customHeight="1">
      <c r="A12" s="47"/>
      <c r="B12" s="40" t="s">
        <v>13</v>
      </c>
      <c r="C12" s="176">
        <v>0.15</v>
      </c>
      <c r="D12" s="25" t="s">
        <v>12</v>
      </c>
      <c r="E12" s="34"/>
      <c r="F12" s="34"/>
      <c r="G12" s="124" t="s">
        <v>49</v>
      </c>
      <c r="H12" s="125">
        <f>((0.72-0.35*EXP(-(C10^4)))^(1/H11))*(((0.72-0.35*EXP(-(C10^4)))^(-1/H5)-1)^(1-H5))/C11</f>
        <v>0.35903641314881884</v>
      </c>
      <c r="I12" s="56" t="s">
        <v>67</v>
      </c>
      <c r="J12" s="70"/>
      <c r="K12" s="60"/>
      <c r="L12" s="61"/>
      <c r="M12" s="42"/>
    </row>
    <row r="13" spans="1:13" s="3" customFormat="1" ht="18" customHeight="1">
      <c r="A13" s="48"/>
      <c r="B13" s="40" t="s">
        <v>16</v>
      </c>
      <c r="C13" s="176">
        <v>0.05</v>
      </c>
      <c r="D13" s="25" t="s">
        <v>25</v>
      </c>
      <c r="E13" s="34"/>
      <c r="F13" s="34"/>
      <c r="G13" s="44"/>
      <c r="H13" s="44"/>
      <c r="I13" s="44"/>
      <c r="J13" s="71"/>
      <c r="K13" s="62"/>
      <c r="L13" s="62"/>
      <c r="M13" s="62"/>
    </row>
    <row r="14" spans="1:13" s="2" customFormat="1" ht="18" customHeight="1">
      <c r="A14" s="47"/>
      <c r="B14" s="120" t="s">
        <v>14</v>
      </c>
      <c r="C14" s="178">
        <v>0.15</v>
      </c>
      <c r="D14" s="25" t="s">
        <v>24</v>
      </c>
      <c r="E14" s="34"/>
      <c r="F14" s="34"/>
      <c r="G14" s="134" t="s">
        <v>118</v>
      </c>
      <c r="H14" s="11"/>
      <c r="I14" s="45"/>
      <c r="J14" s="70"/>
      <c r="K14" s="42"/>
      <c r="L14" s="42"/>
      <c r="M14" s="42"/>
    </row>
    <row r="15" spans="1:13" ht="18" customHeight="1">
      <c r="A15" s="49"/>
      <c r="B15" s="121"/>
      <c r="C15" s="121"/>
      <c r="E15" s="45"/>
      <c r="F15" s="11"/>
      <c r="G15" s="134" t="s">
        <v>119</v>
      </c>
      <c r="H15" s="121"/>
      <c r="J15" s="72"/>
      <c r="K15" s="63"/>
      <c r="L15" s="63"/>
      <c r="M15" s="63"/>
    </row>
    <row r="16" spans="1:13" s="2" customFormat="1" ht="18" customHeight="1">
      <c r="A16" s="47"/>
      <c r="B16" s="28" t="s">
        <v>10</v>
      </c>
      <c r="C16" s="21"/>
      <c r="D16" s="26"/>
      <c r="E16" s="44"/>
      <c r="F16" s="44"/>
      <c r="G16" s="44"/>
      <c r="H16" s="44"/>
      <c r="I16" s="44"/>
      <c r="J16" s="70"/>
      <c r="K16" s="42"/>
      <c r="L16" s="42"/>
      <c r="M16" s="42"/>
    </row>
    <row r="17" spans="1:13" s="2" customFormat="1" ht="18" customHeight="1">
      <c r="A17" s="47"/>
      <c r="B17" s="129" t="s">
        <v>51</v>
      </c>
      <c r="C17" s="43">
        <v>0.75</v>
      </c>
      <c r="D17" s="25" t="s">
        <v>72</v>
      </c>
      <c r="E17" s="44"/>
      <c r="F17" s="44"/>
      <c r="G17" s="44"/>
      <c r="H17" s="44"/>
      <c r="I17" s="44"/>
      <c r="J17" s="70"/>
      <c r="K17" s="42"/>
      <c r="L17" s="42"/>
      <c r="M17" s="42"/>
    </row>
    <row r="18" spans="1:13" s="2" customFormat="1" ht="18" customHeight="1">
      <c r="A18" s="47"/>
      <c r="B18" s="130" t="s">
        <v>52</v>
      </c>
      <c r="C18" s="19">
        <v>65</v>
      </c>
      <c r="D18" s="25" t="s">
        <v>73</v>
      </c>
      <c r="E18" s="44"/>
      <c r="F18" s="44"/>
      <c r="G18" s="44"/>
      <c r="H18" s="44"/>
      <c r="I18" s="44"/>
      <c r="J18" s="70"/>
      <c r="K18" s="42"/>
      <c r="L18" s="42"/>
      <c r="M18" s="42"/>
    </row>
    <row r="19" spans="1:13" ht="18" customHeight="1">
      <c r="A19" s="49"/>
      <c r="B19" s="130" t="s">
        <v>53</v>
      </c>
      <c r="C19" s="19">
        <v>25</v>
      </c>
      <c r="D19" s="25" t="s">
        <v>74</v>
      </c>
      <c r="F19" s="45"/>
      <c r="G19" s="45"/>
      <c r="H19" s="45"/>
      <c r="I19" s="45"/>
      <c r="J19" s="72"/>
      <c r="K19" s="63"/>
      <c r="L19" s="63"/>
      <c r="M19" s="63"/>
    </row>
    <row r="20" spans="1:13" s="11" customFormat="1" ht="18" customHeight="1">
      <c r="A20" s="49"/>
      <c r="B20" s="131" t="s">
        <v>54</v>
      </c>
      <c r="C20" s="20">
        <v>25</v>
      </c>
      <c r="D20" s="25" t="s">
        <v>75</v>
      </c>
      <c r="E20" s="45"/>
      <c r="F20" s="45"/>
      <c r="G20" s="44"/>
      <c r="H20" s="33"/>
      <c r="I20" s="57"/>
      <c r="J20" s="72"/>
      <c r="K20" s="63"/>
      <c r="L20" s="63"/>
      <c r="M20" s="63"/>
    </row>
    <row r="21" spans="1:13" ht="18" customHeight="1" thickBot="1">
      <c r="A21" s="73"/>
      <c r="B21" s="74"/>
      <c r="C21" s="74"/>
      <c r="D21" s="74"/>
      <c r="E21" s="74"/>
      <c r="F21" s="74"/>
      <c r="G21" s="74"/>
      <c r="H21" s="74"/>
      <c r="I21" s="74"/>
      <c r="J21" s="75"/>
      <c r="K21" s="63"/>
      <c r="L21" s="63"/>
      <c r="M21" s="63"/>
    </row>
    <row r="22" spans="1:14" s="4" customFormat="1" ht="18" customHeight="1">
      <c r="A22" s="10"/>
      <c r="B22" s="1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s="4" customFormat="1" ht="18" customHeight="1">
      <c r="A23" s="10"/>
      <c r="B23" s="203" t="s">
        <v>145</v>
      </c>
      <c r="C23" s="10"/>
      <c r="D23" s="10"/>
      <c r="E23" s="10"/>
      <c r="F23" s="10"/>
      <c r="G23" s="10"/>
      <c r="H23" s="10"/>
      <c r="I23" s="10"/>
      <c r="J23" s="10"/>
      <c r="K23" s="8"/>
      <c r="L23" s="10"/>
      <c r="M23" s="10"/>
      <c r="N23" s="10"/>
    </row>
    <row r="24" spans="1:14" ht="18" customHeight="1">
      <c r="A24" s="11"/>
      <c r="B24"/>
      <c r="C24"/>
      <c r="D24" s="8"/>
      <c r="E24" s="8"/>
      <c r="F24" s="8"/>
      <c r="G24" s="7"/>
      <c r="H24" s="8"/>
      <c r="I24" s="8"/>
      <c r="J24" s="7"/>
      <c r="K24" s="8"/>
      <c r="L24" s="8"/>
      <c r="M24" s="11"/>
      <c r="N24" s="11"/>
    </row>
    <row r="25" spans="1:14" ht="18" customHeight="1">
      <c r="A25" s="11"/>
      <c r="B25"/>
      <c r="C25"/>
      <c r="D25" s="37"/>
      <c r="E25" s="11"/>
      <c r="F25" s="11"/>
      <c r="G25" s="9"/>
      <c r="H25" s="11"/>
      <c r="I25" s="11"/>
      <c r="J25" s="9"/>
      <c r="K25" s="11"/>
      <c r="L25" s="11"/>
      <c r="M25" s="11"/>
      <c r="N25" s="11"/>
    </row>
    <row r="26" spans="1:14" ht="18" customHeight="1">
      <c r="A26" s="11"/>
      <c r="B26"/>
      <c r="C26"/>
      <c r="D26" s="11"/>
      <c r="E26" s="11"/>
      <c r="F26" s="11"/>
      <c r="G26" s="9"/>
      <c r="H26" s="9"/>
      <c r="I26" s="11"/>
      <c r="J26" s="9"/>
      <c r="K26" s="11"/>
      <c r="L26" s="11"/>
      <c r="M26" s="11"/>
      <c r="N26" s="11"/>
    </row>
    <row r="27" spans="1:14" ht="18" customHeight="1">
      <c r="A27" s="11"/>
      <c r="B27" s="11"/>
      <c r="C27" s="11"/>
      <c r="D27" s="11"/>
      <c r="E27" s="11"/>
      <c r="F27" s="11"/>
      <c r="G27" s="9"/>
      <c r="H27" s="9"/>
      <c r="I27" s="11"/>
      <c r="J27" s="9"/>
      <c r="K27" s="11"/>
      <c r="L27" s="11"/>
      <c r="M27" s="9"/>
      <c r="N27" s="11"/>
    </row>
    <row r="28" spans="1:14" ht="18" customHeight="1">
      <c r="A28" s="11"/>
      <c r="B28" s="11"/>
      <c r="C28" s="11"/>
      <c r="D28" s="11"/>
      <c r="E28" s="11"/>
      <c r="F28" s="11"/>
      <c r="G28" s="9"/>
      <c r="H28" s="9"/>
      <c r="I28" s="11"/>
      <c r="J28" s="9"/>
      <c r="K28" s="6"/>
      <c r="L28" s="9"/>
      <c r="M28" s="6"/>
      <c r="N28" s="11"/>
    </row>
    <row r="29" spans="1:14" ht="18" customHeight="1">
      <c r="A29" s="11"/>
      <c r="B29" s="11"/>
      <c r="C29" s="11"/>
      <c r="D29" s="11"/>
      <c r="E29" s="11"/>
      <c r="F29" s="11"/>
      <c r="G29" s="9"/>
      <c r="H29" s="9"/>
      <c r="I29" s="11"/>
      <c r="J29" s="9"/>
      <c r="K29" s="6"/>
      <c r="L29" s="9"/>
      <c r="M29" s="6"/>
      <c r="N29" s="11"/>
    </row>
    <row r="30" spans="1:14" ht="18" customHeight="1">
      <c r="A30" s="11"/>
      <c r="B30" s="11"/>
      <c r="C30" s="11"/>
      <c r="D30" s="11"/>
      <c r="E30" s="11"/>
      <c r="F30" s="11"/>
      <c r="G30" s="9"/>
      <c r="H30" s="9"/>
      <c r="I30" s="11"/>
      <c r="J30" s="9"/>
      <c r="K30" s="6"/>
      <c r="L30" s="9"/>
      <c r="M30" s="6"/>
      <c r="N30" s="11"/>
    </row>
    <row r="31" spans="1:14" ht="18" customHeight="1">
      <c r="A31" s="11"/>
      <c r="B31" s="11"/>
      <c r="C31" s="11"/>
      <c r="D31" s="11"/>
      <c r="E31" s="11"/>
      <c r="F31" s="11"/>
      <c r="G31" s="9"/>
      <c r="H31" s="9"/>
      <c r="I31" s="11"/>
      <c r="J31" s="9"/>
      <c r="K31" s="6"/>
      <c r="L31" s="9"/>
      <c r="M31" s="6"/>
      <c r="N31" s="11"/>
    </row>
    <row r="32" spans="1:14" ht="18" customHeight="1">
      <c r="A32" s="11"/>
      <c r="B32" s="11"/>
      <c r="C32" s="11"/>
      <c r="D32" s="11"/>
      <c r="E32" s="11"/>
      <c r="F32" s="11"/>
      <c r="G32" s="9"/>
      <c r="H32" s="9"/>
      <c r="I32" s="11"/>
      <c r="J32" s="9"/>
      <c r="K32" s="6"/>
      <c r="L32" s="9"/>
      <c r="M32" s="6"/>
      <c r="N32" s="11"/>
    </row>
    <row r="33" spans="1:14" ht="18" customHeight="1">
      <c r="A33" s="11"/>
      <c r="B33" s="11"/>
      <c r="C33" s="11"/>
      <c r="D33" s="11"/>
      <c r="E33" s="11"/>
      <c r="F33" s="11"/>
      <c r="G33" s="9"/>
      <c r="H33" s="9"/>
      <c r="I33" s="11"/>
      <c r="J33" s="9"/>
      <c r="K33" s="6"/>
      <c r="L33" s="9"/>
      <c r="M33" s="6"/>
      <c r="N33" s="11"/>
    </row>
    <row r="34" spans="1:14" ht="18" customHeight="1">
      <c r="A34" s="11"/>
      <c r="B34" s="11"/>
      <c r="C34" s="11"/>
      <c r="D34" s="11"/>
      <c r="E34" s="11"/>
      <c r="F34" s="11"/>
      <c r="G34" s="9"/>
      <c r="H34" s="9"/>
      <c r="I34" s="11"/>
      <c r="J34" s="9"/>
      <c r="K34" s="6"/>
      <c r="L34" s="9"/>
      <c r="M34" s="6"/>
      <c r="N34" s="11"/>
    </row>
    <row r="35" spans="1:14" ht="18" customHeight="1">
      <c r="A35" s="11"/>
      <c r="B35" s="11"/>
      <c r="C35" s="11"/>
      <c r="D35" s="11"/>
      <c r="E35" s="11"/>
      <c r="F35" s="11"/>
      <c r="G35" s="9"/>
      <c r="H35" s="9"/>
      <c r="I35" s="11"/>
      <c r="J35" s="9"/>
      <c r="K35" s="6"/>
      <c r="L35" s="9"/>
      <c r="M35" s="6"/>
      <c r="N35" s="11"/>
    </row>
    <row r="36" spans="1:14" ht="18" customHeight="1">
      <c r="A36" s="11"/>
      <c r="B36" s="11"/>
      <c r="C36" s="11"/>
      <c r="D36" s="11"/>
      <c r="E36" s="11"/>
      <c r="F36" s="11"/>
      <c r="G36" s="9"/>
      <c r="H36" s="9"/>
      <c r="I36" s="11"/>
      <c r="J36" s="9"/>
      <c r="K36" s="6"/>
      <c r="L36" s="9"/>
      <c r="M36" s="6"/>
      <c r="N36" s="11"/>
    </row>
    <row r="37" spans="1:14" ht="18" customHeight="1">
      <c r="A37" s="11"/>
      <c r="B37" s="11"/>
      <c r="C37" s="11"/>
      <c r="D37" s="11"/>
      <c r="E37" s="11"/>
      <c r="F37" s="11"/>
      <c r="G37" s="9"/>
      <c r="H37" s="9"/>
      <c r="I37" s="11"/>
      <c r="J37" s="9"/>
      <c r="K37" s="6"/>
      <c r="L37" s="9"/>
      <c r="M37" s="6"/>
      <c r="N37" s="11"/>
    </row>
    <row r="38" spans="1:14" ht="18" customHeight="1">
      <c r="A38" s="11"/>
      <c r="B38" s="11"/>
      <c r="C38" s="11"/>
      <c r="D38" s="11"/>
      <c r="E38" s="11"/>
      <c r="F38" s="11"/>
      <c r="G38" s="9"/>
      <c r="H38" s="9"/>
      <c r="I38" s="11"/>
      <c r="J38" s="9"/>
      <c r="K38" s="6"/>
      <c r="L38" s="9"/>
      <c r="M38" s="6"/>
      <c r="N38" s="11"/>
    </row>
    <row r="39" spans="1:14" ht="18" customHeight="1">
      <c r="A39" s="11"/>
      <c r="B39" s="11"/>
      <c r="C39" s="11"/>
      <c r="D39" s="11"/>
      <c r="E39" s="11"/>
      <c r="F39" s="11"/>
      <c r="G39" s="9"/>
      <c r="H39" s="9"/>
      <c r="I39" s="11"/>
      <c r="J39" s="9"/>
      <c r="K39" s="6"/>
      <c r="L39" s="9"/>
      <c r="M39" s="6"/>
      <c r="N39" s="11"/>
    </row>
    <row r="40" spans="1:14" ht="18" customHeight="1">
      <c r="A40" s="11"/>
      <c r="B40" s="11"/>
      <c r="C40" s="11"/>
      <c r="D40" s="11"/>
      <c r="E40" s="11"/>
      <c r="F40" s="11"/>
      <c r="G40" s="9"/>
      <c r="H40" s="9"/>
      <c r="I40" s="11"/>
      <c r="J40" s="9"/>
      <c r="K40" s="6"/>
      <c r="L40" s="9"/>
      <c r="M40" s="6"/>
      <c r="N40" s="11"/>
    </row>
    <row r="41" spans="1:14" ht="18" customHeight="1">
      <c r="A41" s="11"/>
      <c r="B41" s="11"/>
      <c r="C41" s="11"/>
      <c r="D41" s="11"/>
      <c r="E41" s="11"/>
      <c r="F41" s="11"/>
      <c r="G41" s="9"/>
      <c r="H41" s="9"/>
      <c r="I41" s="11"/>
      <c r="J41" s="9"/>
      <c r="K41" s="6"/>
      <c r="L41" s="9"/>
      <c r="M41" s="6"/>
      <c r="N41" s="11"/>
    </row>
    <row r="42" spans="1:14" ht="18" customHeight="1">
      <c r="A42" s="11"/>
      <c r="B42" s="11"/>
      <c r="C42" s="11"/>
      <c r="D42" s="11"/>
      <c r="E42" s="11"/>
      <c r="F42" s="11"/>
      <c r="G42" s="9"/>
      <c r="H42" s="9"/>
      <c r="I42" s="11"/>
      <c r="J42" s="9"/>
      <c r="K42" s="6"/>
      <c r="L42" s="9"/>
      <c r="M42" s="6"/>
      <c r="N42" s="11"/>
    </row>
    <row r="43" spans="1:14" ht="18" customHeight="1">
      <c r="A43" s="11"/>
      <c r="B43" s="11"/>
      <c r="C43" s="11"/>
      <c r="D43" s="11"/>
      <c r="E43" s="11"/>
      <c r="F43" s="11"/>
      <c r="G43" s="9"/>
      <c r="H43" s="9"/>
      <c r="I43" s="11"/>
      <c r="J43" s="9"/>
      <c r="K43" s="6"/>
      <c r="L43" s="9"/>
      <c r="M43" s="6"/>
      <c r="N43" s="11"/>
    </row>
    <row r="44" spans="1:14" ht="18" customHeight="1">
      <c r="A44" s="11"/>
      <c r="B44" s="11"/>
      <c r="C44" s="11"/>
      <c r="D44" s="11"/>
      <c r="E44" s="11"/>
      <c r="F44" s="11"/>
      <c r="G44" s="9"/>
      <c r="H44" s="9"/>
      <c r="I44" s="11"/>
      <c r="J44" s="9"/>
      <c r="K44" s="6"/>
      <c r="L44" s="9"/>
      <c r="M44" s="6"/>
      <c r="N44" s="11"/>
    </row>
    <row r="45" spans="1:14" ht="18" customHeight="1">
      <c r="A45" s="11"/>
      <c r="B45" s="11"/>
      <c r="C45" s="11"/>
      <c r="D45" s="11"/>
      <c r="E45" s="11"/>
      <c r="F45" s="11"/>
      <c r="G45" s="9"/>
      <c r="H45" s="9"/>
      <c r="I45" s="11"/>
      <c r="J45" s="9"/>
      <c r="K45" s="6"/>
      <c r="L45" s="9"/>
      <c r="M45" s="6"/>
      <c r="N45" s="11"/>
    </row>
    <row r="46" spans="1:14" ht="18" customHeight="1">
      <c r="A46" s="11"/>
      <c r="B46" s="11"/>
      <c r="C46" s="11"/>
      <c r="D46" s="11"/>
      <c r="E46" s="11"/>
      <c r="F46" s="11"/>
      <c r="G46" s="9"/>
      <c r="H46" s="9"/>
      <c r="I46" s="11"/>
      <c r="J46" s="9"/>
      <c r="K46" s="6"/>
      <c r="L46" s="9"/>
      <c r="M46" s="6"/>
      <c r="N46" s="11"/>
    </row>
    <row r="47" spans="1:14" ht="18" customHeight="1">
      <c r="A47" s="11"/>
      <c r="B47" s="11"/>
      <c r="C47" s="11"/>
      <c r="D47" s="11"/>
      <c r="E47" s="11"/>
      <c r="F47" s="11"/>
      <c r="G47" s="9"/>
      <c r="H47" s="9"/>
      <c r="I47" s="11"/>
      <c r="J47" s="9"/>
      <c r="K47" s="6"/>
      <c r="L47" s="9"/>
      <c r="M47" s="6"/>
      <c r="N47" s="11"/>
    </row>
    <row r="48" spans="1:14" ht="18" customHeight="1">
      <c r="A48" s="11"/>
      <c r="B48" s="11"/>
      <c r="C48" s="11"/>
      <c r="D48" s="11"/>
      <c r="E48" s="11"/>
      <c r="F48" s="11"/>
      <c r="G48" s="9"/>
      <c r="H48" s="9"/>
      <c r="I48" s="11"/>
      <c r="J48" s="9"/>
      <c r="K48" s="6"/>
      <c r="L48" s="9"/>
      <c r="M48" s="6"/>
      <c r="N48" s="11"/>
    </row>
    <row r="49" spans="1:14" ht="18" customHeight="1">
      <c r="A49" s="11"/>
      <c r="B49" s="11"/>
      <c r="C49" s="11"/>
      <c r="D49" s="11"/>
      <c r="E49" s="11"/>
      <c r="F49" s="11"/>
      <c r="G49" s="9"/>
      <c r="H49" s="9"/>
      <c r="I49" s="11"/>
      <c r="J49" s="9"/>
      <c r="K49" s="6"/>
      <c r="L49" s="9"/>
      <c r="M49" s="6"/>
      <c r="N49" s="11"/>
    </row>
    <row r="50" spans="1:14" ht="18" customHeight="1">
      <c r="A50" s="11"/>
      <c r="B50" s="11"/>
      <c r="C50" s="11"/>
      <c r="D50" s="11"/>
      <c r="E50" s="11"/>
      <c r="F50" s="11"/>
      <c r="G50" s="9"/>
      <c r="H50" s="9"/>
      <c r="I50" s="11"/>
      <c r="J50" s="9"/>
      <c r="K50" s="6"/>
      <c r="L50" s="9"/>
      <c r="M50" s="6"/>
      <c r="N50" s="11"/>
    </row>
    <row r="51" spans="1:14" ht="18" customHeight="1">
      <c r="A51" s="11"/>
      <c r="B51" s="11"/>
      <c r="C51" s="11"/>
      <c r="D51" s="11"/>
      <c r="E51" s="11"/>
      <c r="F51" s="11"/>
      <c r="G51" s="9"/>
      <c r="H51" s="9"/>
      <c r="I51" s="11"/>
      <c r="J51" s="9"/>
      <c r="K51" s="6"/>
      <c r="L51" s="9"/>
      <c r="M51" s="6"/>
      <c r="N51" s="11"/>
    </row>
    <row r="52" spans="1:14" ht="18" customHeight="1">
      <c r="A52" s="11"/>
      <c r="B52" s="11"/>
      <c r="C52" s="11"/>
      <c r="D52" s="11"/>
      <c r="E52" s="11"/>
      <c r="F52" s="11"/>
      <c r="G52" s="9"/>
      <c r="H52" s="9"/>
      <c r="I52" s="11"/>
      <c r="J52" s="9"/>
      <c r="K52" s="6"/>
      <c r="L52" s="9"/>
      <c r="M52" s="6"/>
      <c r="N52" s="11"/>
    </row>
    <row r="53" spans="1:14" ht="18" customHeight="1">
      <c r="A53" s="11"/>
      <c r="B53" s="11"/>
      <c r="C53" s="11"/>
      <c r="D53" s="11"/>
      <c r="E53" s="11"/>
      <c r="F53" s="11"/>
      <c r="G53" s="9"/>
      <c r="H53" s="9"/>
      <c r="I53" s="11"/>
      <c r="J53" s="9"/>
      <c r="K53" s="6"/>
      <c r="L53" s="9"/>
      <c r="M53" s="6"/>
      <c r="N53" s="11"/>
    </row>
    <row r="54" spans="1:14" ht="18" customHeight="1">
      <c r="A54" s="11"/>
      <c r="B54" s="11"/>
      <c r="C54" s="11"/>
      <c r="D54" s="11"/>
      <c r="E54" s="11"/>
      <c r="F54" s="11"/>
      <c r="G54" s="9"/>
      <c r="H54" s="9"/>
      <c r="I54" s="11"/>
      <c r="J54" s="9"/>
      <c r="K54" s="6"/>
      <c r="L54" s="9"/>
      <c r="M54" s="6"/>
      <c r="N54" s="11"/>
    </row>
    <row r="55" spans="1:14" ht="18" customHeight="1">
      <c r="A55" s="11"/>
      <c r="B55" s="11"/>
      <c r="C55" s="11"/>
      <c r="D55" s="11"/>
      <c r="E55" s="11"/>
      <c r="F55" s="11"/>
      <c r="G55" s="9"/>
      <c r="H55" s="9"/>
      <c r="I55" s="11"/>
      <c r="J55" s="9"/>
      <c r="K55" s="6"/>
      <c r="L55" s="9"/>
      <c r="M55" s="6"/>
      <c r="N55" s="11"/>
    </row>
    <row r="56" spans="1:14" ht="18" customHeight="1">
      <c r="A56" s="11"/>
      <c r="B56" s="11"/>
      <c r="C56" s="11"/>
      <c r="D56" s="11"/>
      <c r="E56" s="11"/>
      <c r="F56" s="11"/>
      <c r="G56" s="9"/>
      <c r="H56" s="9"/>
      <c r="I56" s="11"/>
      <c r="J56" s="9"/>
      <c r="K56" s="6"/>
      <c r="L56" s="9"/>
      <c r="M56" s="6"/>
      <c r="N56" s="11"/>
    </row>
    <row r="57" spans="1:14" ht="18" customHeight="1">
      <c r="A57" s="11"/>
      <c r="B57" s="11"/>
      <c r="C57" s="11"/>
      <c r="D57" s="11"/>
      <c r="E57" s="11"/>
      <c r="F57" s="11"/>
      <c r="G57" s="9"/>
      <c r="H57" s="9"/>
      <c r="I57" s="11"/>
      <c r="J57" s="9"/>
      <c r="K57" s="6"/>
      <c r="L57" s="9"/>
      <c r="M57" s="6"/>
      <c r="N57" s="11"/>
    </row>
    <row r="58" spans="1:14" ht="18" customHeight="1">
      <c r="A58" s="11"/>
      <c r="B58" s="11"/>
      <c r="C58" s="11"/>
      <c r="D58" s="11"/>
      <c r="E58" s="11"/>
      <c r="F58" s="11"/>
      <c r="G58" s="9"/>
      <c r="H58" s="9"/>
      <c r="I58" s="11"/>
      <c r="J58" s="9"/>
      <c r="K58" s="6"/>
      <c r="L58" s="9"/>
      <c r="M58" s="6"/>
      <c r="N58" s="11"/>
    </row>
    <row r="59" spans="1:14" ht="18" customHeight="1">
      <c r="A59" s="11"/>
      <c r="B59" s="11"/>
      <c r="C59" s="11"/>
      <c r="D59" s="11"/>
      <c r="E59" s="11"/>
      <c r="F59" s="11"/>
      <c r="G59" s="9"/>
      <c r="H59" s="9"/>
      <c r="I59" s="11"/>
      <c r="J59" s="9"/>
      <c r="K59" s="6"/>
      <c r="L59" s="9"/>
      <c r="M59" s="6"/>
      <c r="N59" s="11"/>
    </row>
    <row r="60" spans="1:14" ht="18" customHeight="1">
      <c r="A60" s="11"/>
      <c r="B60" s="11"/>
      <c r="C60" s="11"/>
      <c r="D60" s="11"/>
      <c r="E60" s="11"/>
      <c r="F60" s="11"/>
      <c r="G60" s="9"/>
      <c r="H60" s="9"/>
      <c r="I60" s="11"/>
      <c r="J60" s="9"/>
      <c r="K60" s="6"/>
      <c r="L60" s="9"/>
      <c r="M60" s="6"/>
      <c r="N60" s="11"/>
    </row>
    <row r="61" spans="1:14" ht="18" customHeight="1">
      <c r="A61" s="11"/>
      <c r="B61" s="11"/>
      <c r="C61" s="11"/>
      <c r="D61" s="11"/>
      <c r="E61" s="11"/>
      <c r="F61" s="11"/>
      <c r="G61" s="9"/>
      <c r="H61" s="9"/>
      <c r="I61" s="11"/>
      <c r="J61" s="9"/>
      <c r="K61" s="6"/>
      <c r="L61" s="9"/>
      <c r="M61" s="6"/>
      <c r="N61" s="11"/>
    </row>
    <row r="62" spans="1:14" ht="18" customHeight="1">
      <c r="A62" s="11"/>
      <c r="B62" s="11"/>
      <c r="C62" s="11"/>
      <c r="D62" s="11"/>
      <c r="E62" s="11"/>
      <c r="F62" s="11"/>
      <c r="G62" s="9"/>
      <c r="H62" s="9"/>
      <c r="I62" s="11"/>
      <c r="J62" s="9"/>
      <c r="K62" s="6"/>
      <c r="L62" s="9"/>
      <c r="M62" s="6"/>
      <c r="N62" s="11"/>
    </row>
    <row r="63" spans="1:14" ht="18" customHeight="1">
      <c r="A63" s="11"/>
      <c r="B63" s="11"/>
      <c r="C63" s="11"/>
      <c r="D63" s="11"/>
      <c r="E63" s="11"/>
      <c r="F63" s="11"/>
      <c r="G63" s="9"/>
      <c r="H63" s="9"/>
      <c r="I63" s="11"/>
      <c r="J63" s="9"/>
      <c r="K63" s="6"/>
      <c r="L63" s="9"/>
      <c r="M63" s="6"/>
      <c r="N63" s="11"/>
    </row>
    <row r="64" spans="1:14" ht="18" customHeight="1">
      <c r="A64" s="11"/>
      <c r="B64" s="11"/>
      <c r="C64" s="11"/>
      <c r="D64" s="11"/>
      <c r="E64" s="11"/>
      <c r="F64" s="11"/>
      <c r="G64" s="9"/>
      <c r="H64" s="9"/>
      <c r="I64" s="11"/>
      <c r="J64" s="9"/>
      <c r="K64" s="6"/>
      <c r="L64" s="9"/>
      <c r="M64" s="6"/>
      <c r="N64" s="11"/>
    </row>
    <row r="65" spans="1:14" ht="18" customHeight="1">
      <c r="A65" s="11"/>
      <c r="B65" s="11"/>
      <c r="C65" s="11"/>
      <c r="D65" s="11"/>
      <c r="E65" s="11"/>
      <c r="F65" s="11"/>
      <c r="G65" s="9"/>
      <c r="H65" s="9"/>
      <c r="I65" s="11"/>
      <c r="J65" s="9"/>
      <c r="K65" s="6"/>
      <c r="L65" s="9"/>
      <c r="M65" s="6"/>
      <c r="N65" s="11"/>
    </row>
    <row r="66" spans="1:14" ht="18" customHeight="1">
      <c r="A66" s="11"/>
      <c r="B66" s="11"/>
      <c r="C66" s="11"/>
      <c r="D66" s="11"/>
      <c r="E66" s="11"/>
      <c r="F66" s="11"/>
      <c r="G66" s="9"/>
      <c r="H66" s="9"/>
      <c r="I66" s="11"/>
      <c r="J66" s="9"/>
      <c r="K66" s="6"/>
      <c r="L66" s="9"/>
      <c r="M66" s="6"/>
      <c r="N66" s="11"/>
    </row>
    <row r="67" spans="1:14" ht="18" customHeight="1">
      <c r="A67" s="11"/>
      <c r="B67" s="11"/>
      <c r="C67" s="11"/>
      <c r="D67" s="11"/>
      <c r="E67" s="11"/>
      <c r="F67" s="11"/>
      <c r="G67" s="9"/>
      <c r="H67" s="9"/>
      <c r="I67" s="11"/>
      <c r="J67" s="9"/>
      <c r="K67" s="6"/>
      <c r="L67" s="9"/>
      <c r="M67" s="6"/>
      <c r="N67" s="11"/>
    </row>
    <row r="68" spans="1:14" ht="18" customHeight="1">
      <c r="A68" s="11"/>
      <c r="B68" s="11"/>
      <c r="C68" s="11"/>
      <c r="D68" s="11"/>
      <c r="E68" s="11"/>
      <c r="F68" s="11"/>
      <c r="G68" s="9"/>
      <c r="H68" s="9"/>
      <c r="I68" s="11"/>
      <c r="J68" s="9"/>
      <c r="K68" s="6"/>
      <c r="L68" s="9"/>
      <c r="M68" s="6"/>
      <c r="N68" s="11"/>
    </row>
    <row r="69" spans="1:14" ht="18" customHeight="1">
      <c r="A69" s="11"/>
      <c r="B69" s="11"/>
      <c r="C69" s="11"/>
      <c r="D69" s="11"/>
      <c r="E69" s="11"/>
      <c r="F69" s="11"/>
      <c r="G69" s="9"/>
      <c r="H69" s="9"/>
      <c r="I69" s="9"/>
      <c r="J69" s="9"/>
      <c r="K69" s="6"/>
      <c r="L69" s="9"/>
      <c r="M69" s="6"/>
      <c r="N69" s="11"/>
    </row>
    <row r="70" spans="1:14" ht="18" customHeight="1">
      <c r="A70" s="11"/>
      <c r="B70" s="11"/>
      <c r="C70" s="11"/>
      <c r="D70" s="11"/>
      <c r="E70" s="11"/>
      <c r="F70" s="11"/>
      <c r="G70" s="9"/>
      <c r="H70" s="9"/>
      <c r="I70" s="9"/>
      <c r="J70" s="9"/>
      <c r="K70" s="6"/>
      <c r="L70" s="9"/>
      <c r="M70" s="6"/>
      <c r="N70" s="11"/>
    </row>
    <row r="71" spans="1:14" ht="18" customHeight="1">
      <c r="A71" s="11"/>
      <c r="B71" s="11"/>
      <c r="C71" s="11"/>
      <c r="D71" s="11"/>
      <c r="E71" s="11"/>
      <c r="F71" s="11"/>
      <c r="G71" s="9"/>
      <c r="H71" s="9"/>
      <c r="I71" s="9"/>
      <c r="J71" s="9"/>
      <c r="K71" s="6"/>
      <c r="L71" s="9"/>
      <c r="M71" s="6"/>
      <c r="N71" s="11"/>
    </row>
    <row r="72" spans="1:14" ht="18" customHeight="1">
      <c r="A72" s="11"/>
      <c r="B72" s="11"/>
      <c r="C72" s="11"/>
      <c r="D72" s="11"/>
      <c r="E72" s="11"/>
      <c r="F72" s="11"/>
      <c r="G72" s="9"/>
      <c r="H72" s="9"/>
      <c r="I72" s="9"/>
      <c r="J72" s="9"/>
      <c r="K72" s="6"/>
      <c r="L72" s="9"/>
      <c r="M72" s="6"/>
      <c r="N72" s="11"/>
    </row>
    <row r="73" spans="1:14" ht="18" customHeight="1">
      <c r="A73" s="11"/>
      <c r="B73" s="11"/>
      <c r="C73" s="11"/>
      <c r="D73" s="11"/>
      <c r="E73" s="11"/>
      <c r="F73" s="11"/>
      <c r="G73" s="9"/>
      <c r="H73" s="9"/>
      <c r="I73" s="9"/>
      <c r="J73" s="9"/>
      <c r="K73" s="6"/>
      <c r="L73" s="9"/>
      <c r="M73" s="6"/>
      <c r="N73" s="11"/>
    </row>
    <row r="74" spans="1:14" ht="18" customHeight="1">
      <c r="A74" s="11"/>
      <c r="B74" s="11"/>
      <c r="C74" s="11"/>
      <c r="D74" s="11"/>
      <c r="E74" s="11"/>
      <c r="F74" s="11"/>
      <c r="G74" s="9"/>
      <c r="H74" s="9"/>
      <c r="I74" s="9"/>
      <c r="J74" s="9"/>
      <c r="K74" s="6"/>
      <c r="L74" s="9"/>
      <c r="M74" s="6"/>
      <c r="N74" s="11"/>
    </row>
    <row r="75" spans="1:14" ht="18" customHeight="1">
      <c r="A75" s="11"/>
      <c r="B75" s="11"/>
      <c r="C75" s="11"/>
      <c r="D75" s="11"/>
      <c r="E75" s="11"/>
      <c r="F75" s="11"/>
      <c r="G75" s="9"/>
      <c r="H75" s="9"/>
      <c r="I75" s="9"/>
      <c r="J75" s="9"/>
      <c r="K75" s="6"/>
      <c r="L75" s="9"/>
      <c r="M75" s="6"/>
      <c r="N75" s="11"/>
    </row>
    <row r="76" spans="1:14" ht="18" customHeight="1">
      <c r="A76" s="11"/>
      <c r="B76" s="11"/>
      <c r="C76" s="11"/>
      <c r="D76" s="11"/>
      <c r="E76" s="11"/>
      <c r="F76" s="11"/>
      <c r="G76" s="9"/>
      <c r="H76" s="9"/>
      <c r="I76" s="9"/>
      <c r="J76" s="9"/>
      <c r="K76" s="6"/>
      <c r="L76" s="9"/>
      <c r="M76" s="6"/>
      <c r="N76" s="11"/>
    </row>
    <row r="77" spans="1:14" ht="18" customHeight="1">
      <c r="A77" s="11"/>
      <c r="B77" s="11"/>
      <c r="C77" s="11"/>
      <c r="D77" s="11"/>
      <c r="E77" s="11"/>
      <c r="F77" s="11"/>
      <c r="G77" s="9"/>
      <c r="H77" s="9"/>
      <c r="I77" s="9"/>
      <c r="J77" s="9"/>
      <c r="K77" s="6"/>
      <c r="L77" s="9"/>
      <c r="M77" s="6"/>
      <c r="N77" s="11"/>
    </row>
    <row r="78" spans="1:14" ht="18" customHeight="1">
      <c r="A78" s="11"/>
      <c r="B78" s="11"/>
      <c r="C78" s="11"/>
      <c r="D78" s="11"/>
      <c r="E78" s="11"/>
      <c r="F78" s="11"/>
      <c r="G78" s="9"/>
      <c r="H78" s="9"/>
      <c r="I78" s="9"/>
      <c r="J78" s="9"/>
      <c r="K78" s="6"/>
      <c r="L78" s="9"/>
      <c r="M78" s="6"/>
      <c r="N78" s="11"/>
    </row>
    <row r="79" spans="1:17" ht="18" customHeight="1">
      <c r="A79" s="11"/>
      <c r="B79" s="11"/>
      <c r="C79" s="11"/>
      <c r="D79" s="11"/>
      <c r="E79" s="11"/>
      <c r="F79" s="11"/>
      <c r="G79" s="9"/>
      <c r="H79" s="9"/>
      <c r="I79" s="9"/>
      <c r="J79" s="9"/>
      <c r="K79" s="6"/>
      <c r="L79" s="9"/>
      <c r="M79" s="6"/>
      <c r="N79" s="11"/>
      <c r="P79" s="5" t="s">
        <v>4</v>
      </c>
      <c r="Q79" s="5" t="s">
        <v>5</v>
      </c>
    </row>
    <row r="80" spans="1:14" ht="18" customHeight="1">
      <c r="A80" s="11"/>
      <c r="B80" s="11"/>
      <c r="C80" s="11"/>
      <c r="D80" s="11"/>
      <c r="E80" s="11"/>
      <c r="F80" s="11"/>
      <c r="G80" s="9"/>
      <c r="H80" s="9"/>
      <c r="I80" s="9"/>
      <c r="J80" s="9"/>
      <c r="K80" s="6"/>
      <c r="L80" s="9"/>
      <c r="M80" s="6"/>
      <c r="N80" s="11"/>
    </row>
    <row r="81" spans="1:14" ht="18" customHeight="1">
      <c r="A81" s="11"/>
      <c r="B81" s="11"/>
      <c r="C81" s="11"/>
      <c r="D81" s="11"/>
      <c r="E81" s="11"/>
      <c r="F81" s="11"/>
      <c r="G81" s="9"/>
      <c r="H81" s="9"/>
      <c r="I81" s="9"/>
      <c r="J81" s="9"/>
      <c r="K81" s="6"/>
      <c r="L81" s="9"/>
      <c r="M81" s="6"/>
      <c r="N81" s="11"/>
    </row>
    <row r="82" spans="1:14" ht="18" customHeight="1">
      <c r="A82" s="11"/>
      <c r="B82" s="11"/>
      <c r="C82" s="11"/>
      <c r="D82" s="11"/>
      <c r="E82" s="11"/>
      <c r="F82" s="11"/>
      <c r="G82" s="9"/>
      <c r="H82" s="9"/>
      <c r="I82" s="9"/>
      <c r="J82" s="9"/>
      <c r="K82" s="6"/>
      <c r="L82" s="9"/>
      <c r="M82" s="6"/>
      <c r="N82" s="11"/>
    </row>
    <row r="83" spans="1:14" ht="18" customHeight="1">
      <c r="A83" s="11"/>
      <c r="B83" s="11"/>
      <c r="C83" s="11"/>
      <c r="D83" s="11"/>
      <c r="E83" s="11"/>
      <c r="F83" s="11"/>
      <c r="G83" s="9"/>
      <c r="H83" s="9"/>
      <c r="I83" s="9"/>
      <c r="J83" s="9"/>
      <c r="K83" s="6"/>
      <c r="L83" s="9"/>
      <c r="M83" s="6"/>
      <c r="N83" s="11"/>
    </row>
    <row r="84" spans="1:14" ht="18" customHeight="1">
      <c r="A84" s="11"/>
      <c r="B84" s="11"/>
      <c r="C84" s="11"/>
      <c r="D84" s="11"/>
      <c r="E84" s="11"/>
      <c r="F84" s="11"/>
      <c r="G84" s="9"/>
      <c r="H84" s="9"/>
      <c r="I84" s="9"/>
      <c r="J84" s="9"/>
      <c r="K84" s="6"/>
      <c r="L84" s="9"/>
      <c r="M84" s="6"/>
      <c r="N84" s="11"/>
    </row>
    <row r="85" spans="1:14" ht="18" customHeight="1">
      <c r="A85" s="11"/>
      <c r="B85" s="11"/>
      <c r="C85" s="11"/>
      <c r="D85" s="11"/>
      <c r="E85" s="11"/>
      <c r="F85" s="11"/>
      <c r="G85" s="9"/>
      <c r="H85" s="9"/>
      <c r="I85" s="9"/>
      <c r="J85" s="9"/>
      <c r="K85" s="6"/>
      <c r="L85" s="9"/>
      <c r="M85" s="6"/>
      <c r="N85" s="11"/>
    </row>
    <row r="86" spans="1:14" ht="18" customHeight="1">
      <c r="A86" s="11"/>
      <c r="B86" s="11"/>
      <c r="C86" s="11"/>
      <c r="D86" s="11"/>
      <c r="E86" s="11"/>
      <c r="F86" s="11"/>
      <c r="G86" s="9"/>
      <c r="H86" s="9"/>
      <c r="I86" s="9"/>
      <c r="J86" s="9"/>
      <c r="K86" s="6"/>
      <c r="L86" s="9"/>
      <c r="M86" s="6"/>
      <c r="N86" s="11"/>
    </row>
    <row r="87" spans="1:14" ht="18" customHeight="1">
      <c r="A87" s="11"/>
      <c r="B87" s="11"/>
      <c r="C87" s="11"/>
      <c r="D87" s="11"/>
      <c r="E87" s="11"/>
      <c r="F87" s="11"/>
      <c r="G87" s="9"/>
      <c r="H87" s="9"/>
      <c r="I87" s="9"/>
      <c r="J87" s="9"/>
      <c r="K87" s="6"/>
      <c r="L87" s="9"/>
      <c r="M87" s="6"/>
      <c r="N87" s="11"/>
    </row>
    <row r="88" spans="1:14" ht="18" customHeight="1">
      <c r="A88" s="11"/>
      <c r="B88" s="11"/>
      <c r="C88" s="11"/>
      <c r="D88" s="11"/>
      <c r="E88" s="11"/>
      <c r="F88" s="11"/>
      <c r="G88" s="9"/>
      <c r="H88" s="9"/>
      <c r="I88" s="9"/>
      <c r="J88" s="9"/>
      <c r="K88" s="6"/>
      <c r="L88" s="9"/>
      <c r="M88" s="6"/>
      <c r="N88" s="11"/>
    </row>
    <row r="89" spans="1:14" ht="18" customHeight="1">
      <c r="A89" s="11"/>
      <c r="B89" s="11"/>
      <c r="C89" s="11"/>
      <c r="D89" s="11"/>
      <c r="E89" s="11"/>
      <c r="F89" s="11"/>
      <c r="G89" s="9"/>
      <c r="H89" s="9"/>
      <c r="I89" s="9"/>
      <c r="J89" s="9"/>
      <c r="K89" s="6"/>
      <c r="L89" s="9"/>
      <c r="M89" s="6"/>
      <c r="N89" s="11"/>
    </row>
    <row r="90" spans="1:14" ht="18" customHeight="1">
      <c r="A90" s="11"/>
      <c r="B90" s="11"/>
      <c r="C90" s="11"/>
      <c r="D90" s="11"/>
      <c r="E90" s="11"/>
      <c r="F90" s="11"/>
      <c r="G90" s="9"/>
      <c r="H90" s="9"/>
      <c r="I90" s="9"/>
      <c r="J90" s="9"/>
      <c r="K90" s="11"/>
      <c r="L90" s="11"/>
      <c r="M90" s="11"/>
      <c r="N90" s="11"/>
    </row>
    <row r="91" spans="1:14" ht="18" customHeight="1">
      <c r="A91" s="11"/>
      <c r="B91" s="11"/>
      <c r="C91" s="11"/>
      <c r="D91" s="11"/>
      <c r="E91" s="11"/>
      <c r="F91" s="11"/>
      <c r="G91" s="9"/>
      <c r="H91" s="9"/>
      <c r="I91" s="9"/>
      <c r="J91" s="9"/>
      <c r="K91" s="11"/>
      <c r="L91" s="11"/>
      <c r="M91" s="11"/>
      <c r="N91" s="11"/>
    </row>
    <row r="92" spans="1:14" ht="18" customHeight="1">
      <c r="A92" s="11"/>
      <c r="B92" s="11"/>
      <c r="C92" s="11"/>
      <c r="D92" s="11"/>
      <c r="E92" s="11"/>
      <c r="F92" s="11"/>
      <c r="G92" s="9"/>
      <c r="H92" s="9"/>
      <c r="I92" s="9"/>
      <c r="J92" s="9"/>
      <c r="K92" s="11"/>
      <c r="L92" s="11"/>
      <c r="M92" s="11"/>
      <c r="N92" s="11"/>
    </row>
    <row r="93" spans="1:14" ht="18" customHeight="1">
      <c r="A93" s="11"/>
      <c r="B93" s="11"/>
      <c r="C93" s="11"/>
      <c r="D93" s="11"/>
      <c r="E93" s="11"/>
      <c r="F93" s="11"/>
      <c r="G93" s="9"/>
      <c r="H93" s="9"/>
      <c r="I93" s="9"/>
      <c r="J93" s="9"/>
      <c r="K93" s="11"/>
      <c r="L93" s="11"/>
      <c r="M93" s="11"/>
      <c r="N93" s="11"/>
    </row>
    <row r="94" spans="1:14" ht="18" customHeight="1">
      <c r="A94" s="11"/>
      <c r="B94" s="11"/>
      <c r="C94" s="11"/>
      <c r="D94" s="11"/>
      <c r="E94" s="11"/>
      <c r="F94" s="11"/>
      <c r="G94" s="9"/>
      <c r="H94" s="9"/>
      <c r="I94" s="9"/>
      <c r="J94" s="9"/>
      <c r="K94" s="11"/>
      <c r="L94" s="11"/>
      <c r="M94" s="11"/>
      <c r="N94" s="11"/>
    </row>
    <row r="95" spans="1:14" ht="18" customHeight="1">
      <c r="A95" s="11"/>
      <c r="B95" s="11"/>
      <c r="C95" s="11"/>
      <c r="D95" s="11"/>
      <c r="E95" s="11"/>
      <c r="F95" s="11"/>
      <c r="G95" s="9"/>
      <c r="H95" s="9"/>
      <c r="I95" s="9"/>
      <c r="J95" s="9"/>
      <c r="K95" s="11"/>
      <c r="L95" s="11"/>
      <c r="M95" s="11"/>
      <c r="N95" s="11"/>
    </row>
    <row r="96" spans="1:14" ht="18" customHeight="1">
      <c r="A96" s="11"/>
      <c r="B96" s="11"/>
      <c r="C96" s="11"/>
      <c r="D96" s="11"/>
      <c r="E96" s="11"/>
      <c r="F96" s="11"/>
      <c r="G96" s="9"/>
      <c r="H96" s="9"/>
      <c r="I96" s="9"/>
      <c r="J96" s="9"/>
      <c r="K96" s="11"/>
      <c r="L96" s="11"/>
      <c r="M96" s="11"/>
      <c r="N96" s="11"/>
    </row>
    <row r="97" spans="1:14" ht="18" customHeight="1">
      <c r="A97" s="11"/>
      <c r="B97" s="11"/>
      <c r="C97" s="11"/>
      <c r="D97" s="11"/>
      <c r="E97" s="11"/>
      <c r="F97" s="11"/>
      <c r="G97" s="9"/>
      <c r="H97" s="9"/>
      <c r="I97" s="9"/>
      <c r="J97" s="9"/>
      <c r="K97" s="11"/>
      <c r="L97" s="11"/>
      <c r="M97" s="11"/>
      <c r="N97" s="11"/>
    </row>
    <row r="98" spans="1:14" ht="18" customHeight="1">
      <c r="A98" s="11"/>
      <c r="B98" s="11"/>
      <c r="C98" s="11"/>
      <c r="D98" s="11"/>
      <c r="E98" s="11"/>
      <c r="F98" s="11"/>
      <c r="G98" s="9"/>
      <c r="H98" s="9"/>
      <c r="I98" s="9"/>
      <c r="J98" s="9"/>
      <c r="K98" s="11"/>
      <c r="L98" s="11"/>
      <c r="M98" s="11"/>
      <c r="N98" s="11"/>
    </row>
    <row r="99" spans="1:14" ht="18" customHeight="1">
      <c r="A99" s="11"/>
      <c r="B99" s="11"/>
      <c r="C99" s="11"/>
      <c r="D99" s="11"/>
      <c r="E99" s="11"/>
      <c r="F99" s="11"/>
      <c r="G99" s="9"/>
      <c r="H99" s="9"/>
      <c r="I99" s="9"/>
      <c r="J99" s="9"/>
      <c r="K99" s="11"/>
      <c r="L99" s="11"/>
      <c r="M99" s="11"/>
      <c r="N99" s="11"/>
    </row>
    <row r="100" spans="1:14" ht="18" customHeight="1">
      <c r="A100" s="11"/>
      <c r="B100" s="11"/>
      <c r="C100" s="11"/>
      <c r="D100" s="11"/>
      <c r="E100" s="11"/>
      <c r="F100" s="11"/>
      <c r="G100" s="9"/>
      <c r="H100" s="9"/>
      <c r="I100" s="9"/>
      <c r="J100" s="9"/>
      <c r="K100" s="11"/>
      <c r="L100" s="11"/>
      <c r="M100" s="11"/>
      <c r="N100" s="11"/>
    </row>
    <row r="101" spans="1:14" ht="18" customHeight="1">
      <c r="A101" s="11"/>
      <c r="B101" s="11"/>
      <c r="C101" s="11"/>
      <c r="D101" s="11"/>
      <c r="E101" s="11"/>
      <c r="F101" s="11"/>
      <c r="G101" s="9"/>
      <c r="H101" s="9"/>
      <c r="I101" s="9"/>
      <c r="J101" s="9"/>
      <c r="K101" s="11"/>
      <c r="L101" s="11"/>
      <c r="M101" s="11"/>
      <c r="N101" s="11"/>
    </row>
    <row r="102" spans="1:14" ht="18" customHeight="1">
      <c r="A102" s="11"/>
      <c r="B102" s="11"/>
      <c r="C102" s="11"/>
      <c r="D102" s="11"/>
      <c r="E102" s="11"/>
      <c r="F102" s="11"/>
      <c r="G102" s="9"/>
      <c r="H102" s="9"/>
      <c r="I102" s="9"/>
      <c r="J102" s="9"/>
      <c r="K102" s="11"/>
      <c r="L102" s="11"/>
      <c r="M102" s="11"/>
      <c r="N102" s="11"/>
    </row>
    <row r="103" spans="1:14" ht="18" customHeight="1">
      <c r="A103" s="11"/>
      <c r="B103" s="11"/>
      <c r="C103" s="11"/>
      <c r="D103" s="11"/>
      <c r="E103" s="11"/>
      <c r="F103" s="11"/>
      <c r="G103" s="9"/>
      <c r="H103" s="9"/>
      <c r="I103" s="9"/>
      <c r="J103" s="9"/>
      <c r="K103" s="11"/>
      <c r="L103" s="11"/>
      <c r="M103" s="11"/>
      <c r="N103" s="11"/>
    </row>
    <row r="104" spans="1:14" ht="18" customHeight="1">
      <c r="A104" s="11"/>
      <c r="B104" s="11"/>
      <c r="C104" s="11"/>
      <c r="D104" s="11"/>
      <c r="E104" s="11"/>
      <c r="F104" s="11"/>
      <c r="G104" s="9"/>
      <c r="H104" s="9"/>
      <c r="I104" s="9"/>
      <c r="J104" s="9"/>
      <c r="K104" s="11"/>
      <c r="L104" s="11"/>
      <c r="M104" s="11"/>
      <c r="N104" s="11"/>
    </row>
    <row r="105" spans="1:14" ht="18" customHeight="1">
      <c r="A105" s="11"/>
      <c r="B105" s="11"/>
      <c r="C105" s="11"/>
      <c r="D105" s="11"/>
      <c r="E105" s="11"/>
      <c r="F105" s="11"/>
      <c r="G105" s="9"/>
      <c r="H105" s="9"/>
      <c r="I105" s="9"/>
      <c r="J105" s="9"/>
      <c r="K105" s="11"/>
      <c r="L105" s="11"/>
      <c r="M105" s="11"/>
      <c r="N105" s="11"/>
    </row>
    <row r="106" spans="1:14" ht="18" customHeight="1">
      <c r="A106" s="11"/>
      <c r="B106" s="11"/>
      <c r="C106" s="11"/>
      <c r="D106" s="11"/>
      <c r="E106" s="11"/>
      <c r="F106" s="11"/>
      <c r="G106" s="9"/>
      <c r="H106" s="9"/>
      <c r="I106" s="9"/>
      <c r="J106" s="9"/>
      <c r="K106" s="11"/>
      <c r="L106" s="11"/>
      <c r="M106" s="11"/>
      <c r="N106" s="11"/>
    </row>
    <row r="107" spans="1:14" ht="18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8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8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8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</sheetData>
  <sheetProtection password="CC02" sheet="1" objects="1" scenarios="1"/>
  <printOptions/>
  <pageMargins left="0.75" right="0.75" top="2" bottom="1" header="0.5" footer="0.5"/>
  <pageSetup fitToHeight="1" fitToWidth="1" horizontalDpi="600" verticalDpi="600" orientation="landscape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65"/>
  <sheetViews>
    <sheetView workbookViewId="0" topLeftCell="A1">
      <selection activeCell="F3" sqref="F3"/>
    </sheetView>
  </sheetViews>
  <sheetFormatPr defaultColWidth="9.140625" defaultRowHeight="12.75"/>
  <cols>
    <col min="1" max="1" width="4.00390625" style="0" customWidth="1"/>
    <col min="2" max="2" width="9.140625" style="85" customWidth="1"/>
    <col min="3" max="3" width="11.28125" style="0" customWidth="1"/>
    <col min="5" max="5" width="11.00390625" style="0" customWidth="1"/>
    <col min="6" max="6" width="11.28125" style="0" customWidth="1"/>
    <col min="7" max="7" width="10.57421875" style="0" customWidth="1"/>
    <col min="9" max="9" width="12.57421875" style="0" customWidth="1"/>
  </cols>
  <sheetData>
    <row r="1" spans="1:17" ht="15" customHeight="1">
      <c r="A1" s="87"/>
      <c r="B1" s="88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8" ht="15" customHeight="1">
      <c r="A2" s="87"/>
      <c r="B2" s="17" t="s">
        <v>22</v>
      </c>
      <c r="C2" s="15"/>
      <c r="D2" s="15"/>
      <c r="E2" s="16"/>
      <c r="F2" s="134" t="s">
        <v>59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5.75">
      <c r="A3" s="87"/>
      <c r="B3" s="109" t="s">
        <v>114</v>
      </c>
      <c r="C3" s="110" t="s">
        <v>115</v>
      </c>
      <c r="D3" s="112" t="s">
        <v>8</v>
      </c>
      <c r="E3" s="12" t="s">
        <v>116</v>
      </c>
      <c r="F3" s="12" t="s">
        <v>21</v>
      </c>
      <c r="G3" s="173" t="s">
        <v>117</v>
      </c>
      <c r="H3" s="102" t="s">
        <v>38</v>
      </c>
      <c r="I3" s="87"/>
      <c r="J3" s="91"/>
      <c r="K3" s="91"/>
      <c r="L3" s="91"/>
      <c r="M3" s="91"/>
      <c r="N3" s="91"/>
      <c r="O3" s="91"/>
      <c r="P3" s="91"/>
      <c r="Q3" s="91"/>
      <c r="R3" s="91"/>
    </row>
    <row r="4" spans="1:18" ht="12.75">
      <c r="A4" s="87"/>
      <c r="B4" s="106">
        <v>0</v>
      </c>
      <c r="C4" s="111">
        <v>0</v>
      </c>
      <c r="D4" s="84">
        <v>0</v>
      </c>
      <c r="E4" s="108"/>
      <c r="F4" s="14"/>
      <c r="G4" s="13"/>
      <c r="H4" s="14"/>
      <c r="I4" s="87"/>
      <c r="J4" s="99"/>
      <c r="K4" s="91"/>
      <c r="L4" s="91"/>
      <c r="M4" s="91"/>
      <c r="N4" s="91"/>
      <c r="O4" s="91"/>
      <c r="P4" s="91"/>
      <c r="Q4" s="91"/>
      <c r="R4" s="91"/>
    </row>
    <row r="5" spans="1:18" ht="12.75">
      <c r="A5" s="87"/>
      <c r="B5" s="105">
        <f>B42</f>
        <v>0.24</v>
      </c>
      <c r="C5" s="104">
        <f>C42</f>
        <v>0.025337765117238023</v>
      </c>
      <c r="D5" s="179">
        <f>D42</f>
        <v>1.3869375317044941E-06</v>
      </c>
      <c r="E5" s="103">
        <f>IF(B5&gt;0,B5-C5/F5,)</f>
        <v>0</v>
      </c>
      <c r="F5" s="101">
        <f>IF(C5&gt;0,(C5-C4)/(B5-B4),)</f>
        <v>0.1055740213218251</v>
      </c>
      <c r="G5" s="100">
        <f>B5-D5/H5</f>
        <v>0</v>
      </c>
      <c r="H5" s="101">
        <f>(D5-D4)/(B5-B4)</f>
        <v>5.778906382102059E-06</v>
      </c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2.75">
      <c r="A6" s="87"/>
      <c r="B6" s="105">
        <f>B49</f>
        <v>1.08</v>
      </c>
      <c r="C6" s="104">
        <f>C49</f>
        <v>0.21911309287921144</v>
      </c>
      <c r="D6" s="179">
        <f>D49</f>
        <v>0.12677698736275145</v>
      </c>
      <c r="E6" s="103">
        <f>IF(B6&gt;0,B6-C6/F6,)</f>
        <v>0.13016288634730588</v>
      </c>
      <c r="F6" s="101">
        <f>IF(C6&gt;0,(C6-C5)/(B6-B5),)</f>
        <v>0.2306849140023493</v>
      </c>
      <c r="G6" s="100">
        <f>B6-D6/H6</f>
        <v>0.2399908103174212</v>
      </c>
      <c r="H6" s="101">
        <f>(D6-D5)/(B6-B5)</f>
        <v>0.15092333383954729</v>
      </c>
      <c r="I6" s="180">
        <v>0.0001</v>
      </c>
      <c r="J6" s="109" t="s">
        <v>57</v>
      </c>
      <c r="K6" s="91"/>
      <c r="L6" s="91"/>
      <c r="M6" s="91"/>
      <c r="N6" s="91"/>
      <c r="O6" s="91"/>
      <c r="P6" s="91"/>
      <c r="Q6" s="91"/>
      <c r="R6" s="91"/>
    </row>
    <row r="7" spans="1:18" ht="12.75">
      <c r="A7" s="87"/>
      <c r="B7" s="106">
        <f>B65</f>
        <v>3</v>
      </c>
      <c r="C7" s="107">
        <f>C65</f>
        <v>0.8736696610645742</v>
      </c>
      <c r="D7" s="84">
        <f>D65</f>
        <v>0.4545428941843077</v>
      </c>
      <c r="E7" s="103">
        <f>IF(B7&gt;0,B7-C7/F7,)</f>
        <v>0.43727917375515624</v>
      </c>
      <c r="F7" s="101">
        <f>IF(C7&gt;0,(C7-C6)/(B7-B6),)</f>
        <v>0.3409148792632098</v>
      </c>
      <c r="G7" s="100">
        <f>B7-D7/H7</f>
        <v>0.3373607850281939</v>
      </c>
      <c r="H7" s="101">
        <f>(D7-D6)/(B7-B6)</f>
        <v>0.1707114098028939</v>
      </c>
      <c r="I7" s="181">
        <v>1E-05</v>
      </c>
      <c r="J7" s="135" t="s">
        <v>58</v>
      </c>
      <c r="K7" s="91"/>
      <c r="L7" s="91"/>
      <c r="M7" s="91"/>
      <c r="N7" s="91"/>
      <c r="O7" s="91"/>
      <c r="P7" s="91"/>
      <c r="Q7" s="91"/>
      <c r="R7" s="91"/>
    </row>
    <row r="8" spans="1:18" ht="12.75">
      <c r="A8" s="87"/>
      <c r="B8" s="90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1"/>
    </row>
    <row r="9" spans="1:18" ht="12.75">
      <c r="A9" s="87"/>
      <c r="B9" s="92"/>
      <c r="C9" s="93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1"/>
    </row>
    <row r="10" spans="1:18" ht="12.75">
      <c r="A10" s="87"/>
      <c r="B10" s="94"/>
      <c r="C10" s="93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1"/>
    </row>
    <row r="11" spans="1:18" ht="12.75">
      <c r="A11" s="87"/>
      <c r="B11" s="94"/>
      <c r="C11" s="95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1"/>
    </row>
    <row r="12" spans="1:18" ht="12.75">
      <c r="A12" s="87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1:18" ht="15.75">
      <c r="A13" s="87"/>
      <c r="B13" s="90"/>
      <c r="C13" s="91"/>
      <c r="D13" s="91"/>
      <c r="E13" s="91"/>
      <c r="F13" s="91"/>
      <c r="G13" s="91"/>
      <c r="H13" s="91"/>
      <c r="I13" s="91"/>
      <c r="J13" s="96"/>
      <c r="K13" s="97"/>
      <c r="L13" s="91"/>
      <c r="M13" s="91"/>
      <c r="N13" s="91"/>
      <c r="O13" s="91"/>
      <c r="P13" s="91"/>
      <c r="Q13" s="91"/>
      <c r="R13" s="91"/>
    </row>
    <row r="14" spans="1:18" ht="12.75">
      <c r="A14" s="87"/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18" ht="12.75">
      <c r="A15" s="87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spans="1:18" ht="12.75">
      <c r="A16" s="87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spans="1:18" ht="12.75">
      <c r="A17" s="87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spans="1:18" ht="12.75">
      <c r="A18" s="87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spans="1:18" ht="12.75">
      <c r="A19" s="87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  <row r="20" spans="1:18" ht="12.75">
      <c r="A20" s="87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spans="1:18" ht="12.75">
      <c r="A21" s="91"/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spans="1:18" ht="12.75">
      <c r="A22" s="91"/>
      <c r="B22" s="90"/>
      <c r="C22" s="98"/>
      <c r="D22" s="99"/>
      <c r="E22" s="99"/>
      <c r="F22" s="99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1:18" ht="12.75">
      <c r="A23" s="91"/>
      <c r="B23" s="90"/>
      <c r="C23" s="98"/>
      <c r="D23" s="99"/>
      <c r="E23" s="99"/>
      <c r="F23" s="99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1:18" ht="12.75">
      <c r="A24" s="91"/>
      <c r="B24" s="90"/>
      <c r="C24" s="98"/>
      <c r="D24" s="98"/>
      <c r="E24" s="98"/>
      <c r="F24" s="98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spans="1:18" ht="12.75">
      <c r="A25" s="91"/>
      <c r="B25" s="90"/>
      <c r="C25" s="98"/>
      <c r="D25" s="98"/>
      <c r="E25" s="98"/>
      <c r="F25" s="98"/>
      <c r="G25" s="91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91"/>
      <c r="B26" s="90"/>
      <c r="C26" s="98"/>
      <c r="D26" s="98"/>
      <c r="E26" s="98"/>
      <c r="F26" s="98"/>
      <c r="G26" s="91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91"/>
      <c r="B27" s="90"/>
      <c r="C27" s="91"/>
      <c r="D27" s="91"/>
      <c r="E27" s="91"/>
      <c r="F27" s="91"/>
      <c r="G27" s="91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91"/>
      <c r="B28" s="90"/>
      <c r="C28" s="91"/>
      <c r="D28" s="91"/>
      <c r="E28" s="91"/>
      <c r="F28" s="91"/>
      <c r="G28" s="91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91"/>
      <c r="B29" s="90"/>
      <c r="C29" s="91"/>
      <c r="D29" s="91"/>
      <c r="E29" s="91"/>
      <c r="F29" s="91"/>
      <c r="G29" s="91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91"/>
      <c r="B30" s="90"/>
      <c r="C30" s="91"/>
      <c r="D30" s="91"/>
      <c r="E30" s="91"/>
      <c r="F30" s="91"/>
      <c r="G30" s="91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91"/>
      <c r="B31" s="90"/>
      <c r="C31" s="91"/>
      <c r="D31" s="91"/>
      <c r="E31" s="91"/>
      <c r="F31" s="91"/>
      <c r="G31" s="91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91"/>
      <c r="B32" s="90"/>
      <c r="C32" s="91"/>
      <c r="D32" s="91"/>
      <c r="E32" s="91"/>
      <c r="F32" s="91"/>
      <c r="G32" s="91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91"/>
      <c r="B33" s="90"/>
      <c r="C33" s="91"/>
      <c r="D33" s="91"/>
      <c r="E33" s="91"/>
      <c r="F33" s="91"/>
      <c r="G33" s="91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91"/>
      <c r="B34" s="90"/>
      <c r="C34" s="91"/>
      <c r="D34" s="91"/>
      <c r="E34" s="91"/>
      <c r="F34" s="91"/>
      <c r="G34" s="91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91"/>
      <c r="B35" s="90"/>
      <c r="C35" s="91"/>
      <c r="D35" s="91"/>
      <c r="E35" s="91"/>
      <c r="F35" s="91"/>
      <c r="G35" s="91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9" spans="2:4" ht="12.75">
      <c r="B39" s="85" t="s">
        <v>35</v>
      </c>
      <c r="C39" s="76" t="s">
        <v>36</v>
      </c>
      <c r="D39" s="76" t="s">
        <v>37</v>
      </c>
    </row>
    <row r="40" spans="1:4" ht="12.75">
      <c r="A40">
        <v>0</v>
      </c>
      <c r="B40" s="80">
        <f>A40*'Data Entry'!C$6/25</f>
        <v>0</v>
      </c>
      <c r="C40" s="80">
        <v>0</v>
      </c>
      <c r="D40" s="143">
        <v>0</v>
      </c>
    </row>
    <row r="41" spans="1:4" ht="12.75">
      <c r="A41">
        <v>1</v>
      </c>
      <c r="B41" s="80">
        <f>A41*'Data Entry'!C$6/25</f>
        <v>0.12</v>
      </c>
      <c r="C41" s="80">
        <f>vo(B41,'Data Entry'!C$17,'Data Entry'!C$10,'Data Entry'!H$6,'Data Entry'!H$7,'Data Entry'!C$12,'Data Entry'!C$13,'Data Entry'!C$14,'Data Entry'!C$9,I$6)</f>
        <v>0.016528934477592454</v>
      </c>
      <c r="D41" s="143">
        <f>krob(B41,'Data Entry'!C$17,'Data Entry'!C$10,'Data Entry'!H$6,'Data Entry'!H$7,'Data Entry'!C$12,'Data Entry'!H$11,I$7)</f>
        <v>2.8927124560631193E-11</v>
      </c>
    </row>
    <row r="42" spans="1:4" ht="12.75">
      <c r="A42">
        <v>2</v>
      </c>
      <c r="B42" s="80">
        <f>A42*'Data Entry'!C$6/25</f>
        <v>0.24</v>
      </c>
      <c r="C42" s="80">
        <f>vo(B42,'Data Entry'!C$17,'Data Entry'!C$10,'Data Entry'!H$6,'Data Entry'!H$7,'Data Entry'!C$12,'Data Entry'!C$13,'Data Entry'!C$14,'Data Entry'!C$9,I$6)</f>
        <v>0.025337765117238023</v>
      </c>
      <c r="D42" s="143">
        <f>krob(B42,'Data Entry'!C$17,'Data Entry'!C$10,'Data Entry'!H$6,'Data Entry'!H$7,'Data Entry'!C$12,'Data Entry'!H$11,I$7)</f>
        <v>1.3869375317044941E-06</v>
      </c>
    </row>
    <row r="43" spans="1:4" ht="12.75">
      <c r="A43">
        <v>3</v>
      </c>
      <c r="B43" s="80">
        <f>A43*'Data Entry'!C$6/25</f>
        <v>0.36</v>
      </c>
      <c r="C43" s="80">
        <f>vo(B43,'Data Entry'!C$17,'Data Entry'!C$10,'Data Entry'!H$6,'Data Entry'!H$7,'Data Entry'!C$12,'Data Entry'!C$13,'Data Entry'!C$14,'Data Entry'!C$9,I$6)</f>
        <v>0.03737209670788793</v>
      </c>
      <c r="D43" s="143">
        <f>krob(B43,'Data Entry'!C$17,'Data Entry'!C$10,'Data Entry'!H$6,'Data Entry'!H$7,'Data Entry'!C$12,'Data Entry'!H$11,I$7)</f>
        <v>0.00012831693756345765</v>
      </c>
    </row>
    <row r="44" spans="1:4" ht="12.75">
      <c r="A44">
        <v>4</v>
      </c>
      <c r="B44" s="80">
        <f>A44*'Data Entry'!C$6/25</f>
        <v>0.48</v>
      </c>
      <c r="C44" s="80">
        <f>vo(B44,'Data Entry'!C$17,'Data Entry'!C$10,'Data Entry'!H$6,'Data Entry'!H$7,'Data Entry'!C$12,'Data Entry'!C$13,'Data Entry'!C$14,'Data Entry'!C$9,I$6)</f>
        <v>0.05524323943389815</v>
      </c>
      <c r="D44" s="143">
        <f>krob(B44,'Data Entry'!C$17,'Data Entry'!C$10,'Data Entry'!H$6,'Data Entry'!H$7,'Data Entry'!C$12,'Data Entry'!H$11,I$7)</f>
        <v>0.001990624276108204</v>
      </c>
    </row>
    <row r="45" spans="1:4" ht="12.75">
      <c r="A45">
        <v>5</v>
      </c>
      <c r="B45" s="80">
        <f>A45*'Data Entry'!C$6/25</f>
        <v>0.6</v>
      </c>
      <c r="C45" s="80">
        <f>vo(B45,'Data Entry'!C$17,'Data Entry'!C$10,'Data Entry'!H$6,'Data Entry'!H$7,'Data Entry'!C$12,'Data Entry'!C$13,'Data Entry'!C$14,'Data Entry'!C$9,I$6)</f>
        <v>0.07979764454302889</v>
      </c>
      <c r="D45" s="143">
        <f>krob(B45,'Data Entry'!C$17,'Data Entry'!C$10,'Data Entry'!H$6,'Data Entry'!H$7,'Data Entry'!C$12,'Data Entry'!H$11,I$7)</f>
        <v>0.010521186377969947</v>
      </c>
    </row>
    <row r="46" spans="1:4" ht="12.75">
      <c r="A46">
        <v>6</v>
      </c>
      <c r="B46" s="80">
        <f>A46*'Data Entry'!C$6/25</f>
        <v>0.72</v>
      </c>
      <c r="C46" s="80">
        <f>vo(B46,'Data Entry'!C$17,'Data Entry'!C$10,'Data Entry'!H$6,'Data Entry'!H$7,'Data Entry'!C$12,'Data Entry'!C$13,'Data Entry'!C$14,'Data Entry'!C$9,I$6)</f>
        <v>0.11005512246032655</v>
      </c>
      <c r="D46" s="143">
        <f>krob(B46,'Data Entry'!C$17,'Data Entry'!C$10,'Data Entry'!H$6,'Data Entry'!H$7,'Data Entry'!C$12,'Data Entry'!H$11,I$7)</f>
        <v>0.029563280169420867</v>
      </c>
    </row>
    <row r="47" spans="1:4" ht="12.75">
      <c r="A47">
        <v>7</v>
      </c>
      <c r="B47" s="80">
        <f>A47*'Data Entry'!C$6/25</f>
        <v>0.84</v>
      </c>
      <c r="C47" s="80">
        <f>vo(B47,'Data Entry'!C$17,'Data Entry'!C$10,'Data Entry'!H$6,'Data Entry'!H$7,'Data Entry'!C$12,'Data Entry'!C$13,'Data Entry'!C$14,'Data Entry'!C$9,I$6)</f>
        <v>0.1441614326887132</v>
      </c>
      <c r="D47" s="143">
        <f>krob(B47,'Data Entry'!C$17,'Data Entry'!C$10,'Data Entry'!H$6,'Data Entry'!H$7,'Data Entry'!C$12,'Data Entry'!H$11,I$7)</f>
        <v>0.057823326714445074</v>
      </c>
    </row>
    <row r="48" spans="1:4" ht="12.75">
      <c r="A48">
        <v>8</v>
      </c>
      <c r="B48" s="80">
        <f>A48*'Data Entry'!C$6/25</f>
        <v>0.96</v>
      </c>
      <c r="C48" s="80">
        <f>vo(B48,'Data Entry'!C$17,'Data Entry'!C$10,'Data Entry'!H$6,'Data Entry'!H$7,'Data Entry'!C$12,'Data Entry'!C$13,'Data Entry'!C$14,'Data Entry'!C$9,I$6)</f>
        <v>0.1809330466747293</v>
      </c>
      <c r="D48" s="143">
        <f>krob(B48,'Data Entry'!C$17,'Data Entry'!C$10,'Data Entry'!H$6,'Data Entry'!H$7,'Data Entry'!C$12,'Data Entry'!H$11,I$7)</f>
        <v>0.0914075305124155</v>
      </c>
    </row>
    <row r="49" spans="1:4" ht="12.75">
      <c r="A49">
        <v>9</v>
      </c>
      <c r="B49" s="80">
        <f>A49*'Data Entry'!C$6/25</f>
        <v>1.08</v>
      </c>
      <c r="C49" s="80">
        <f>vo(B49,'Data Entry'!C$17,'Data Entry'!C$10,'Data Entry'!H$6,'Data Entry'!H$7,'Data Entry'!C$12,'Data Entry'!C$13,'Data Entry'!C$14,'Data Entry'!C$9,I$6)</f>
        <v>0.21911309287921144</v>
      </c>
      <c r="D49" s="143">
        <f>krob(B49,'Data Entry'!C$17,'Data Entry'!C$10,'Data Entry'!H$6,'Data Entry'!H$7,'Data Entry'!C$12,'Data Entry'!H$11,I$7)</f>
        <v>0.12677698736275145</v>
      </c>
    </row>
    <row r="50" spans="1:4" ht="12.75">
      <c r="A50">
        <v>10</v>
      </c>
      <c r="B50" s="80">
        <f>A50*'Data Entry'!C$6/25</f>
        <v>1.2</v>
      </c>
      <c r="C50" s="80">
        <f>vo(B50,'Data Entry'!C$17,'Data Entry'!C$10,'Data Entry'!H$6,'Data Entry'!H$7,'Data Entry'!C$12,'Data Entry'!C$13,'Data Entry'!C$14,'Data Entry'!C$9,I$6)</f>
        <v>0.25833220379841565</v>
      </c>
      <c r="D50" s="143">
        <f>krob(B50,'Data Entry'!C$17,'Data Entry'!C$10,'Data Entry'!H$6,'Data Entry'!H$7,'Data Entry'!C$12,'Data Entry'!H$11,I$7)</f>
        <v>0.16162922907947092</v>
      </c>
    </row>
    <row r="51" spans="1:4" ht="12.75">
      <c r="A51">
        <v>11</v>
      </c>
      <c r="B51" s="80">
        <f>A51*'Data Entry'!C$6/25</f>
        <v>1.32</v>
      </c>
      <c r="C51" s="80">
        <f>vo(B51,'Data Entry'!C$17,'Data Entry'!C$10,'Data Entry'!H$6,'Data Entry'!H$7,'Data Entry'!C$12,'Data Entry'!C$13,'Data Entry'!C$14,'Data Entry'!C$9,I$6)</f>
        <v>0.2980517866424091</v>
      </c>
      <c r="D51" s="143">
        <f>krob(B51,'Data Entry'!C$17,'Data Entry'!C$10,'Data Entry'!H$6,'Data Entry'!H$7,'Data Entry'!C$12,'Data Entry'!H$11,I$7)</f>
        <v>0.1947242889926955</v>
      </c>
    </row>
    <row r="52" spans="1:4" ht="12.75">
      <c r="A52">
        <v>12</v>
      </c>
      <c r="B52" s="80">
        <f>A52*'Data Entry'!C$6/25</f>
        <v>1.44</v>
      </c>
      <c r="C52" s="80">
        <f>vo(B52,'Data Entry'!C$17,'Data Entry'!C$10,'Data Entry'!H$6,'Data Entry'!H$7,'Data Entry'!C$12,'Data Entry'!C$13,'Data Entry'!C$14,'Data Entry'!C$9,I$6)</f>
        <v>0.33845855848936</v>
      </c>
      <c r="D52" s="143">
        <f>krob(B52,'Data Entry'!C$17,'Data Entry'!C$10,'Data Entry'!H$6,'Data Entry'!H$7,'Data Entry'!C$12,'Data Entry'!H$11,I$7)</f>
        <v>0.2255116224588952</v>
      </c>
    </row>
    <row r="53" spans="1:4" ht="12.75">
      <c r="A53">
        <v>13</v>
      </c>
      <c r="B53" s="80">
        <f>A53*'Data Entry'!C$6/25</f>
        <v>1.56</v>
      </c>
      <c r="C53" s="80">
        <f>vo(B53,'Data Entry'!C$17,'Data Entry'!C$10,'Data Entry'!H$6,'Data Entry'!H$7,'Data Entry'!C$12,'Data Entry'!C$13,'Data Entry'!C$14,'Data Entry'!C$9,I$6)</f>
        <v>0.3792135656150155</v>
      </c>
      <c r="D53" s="143">
        <f>krob(B53,'Data Entry'!C$17,'Data Entry'!C$10,'Data Entry'!H$6,'Data Entry'!H$7,'Data Entry'!C$12,'Data Entry'!H$11,I$7)</f>
        <v>0.2538351613193214</v>
      </c>
    </row>
    <row r="54" spans="1:4" ht="12.75">
      <c r="A54">
        <v>14</v>
      </c>
      <c r="B54" s="80">
        <f>A54*'Data Entry'!C$6/25</f>
        <v>1.68</v>
      </c>
      <c r="C54" s="80">
        <f>vo(B54,'Data Entry'!C$17,'Data Entry'!C$10,'Data Entry'!H$6,'Data Entry'!H$7,'Data Entry'!C$12,'Data Entry'!C$13,'Data Entry'!C$14,'Data Entry'!C$9,I$6)</f>
        <v>0.4200187513790103</v>
      </c>
      <c r="D54" s="143">
        <f>krob(B54,'Data Entry'!C$17,'Data Entry'!C$10,'Data Entry'!H$6,'Data Entry'!H$7,'Data Entry'!C$12,'Data Entry'!H$11,I$7)</f>
        <v>0.2797462330630551</v>
      </c>
    </row>
    <row r="55" spans="1:4" ht="12.75">
      <c r="A55">
        <v>15</v>
      </c>
      <c r="B55" s="80">
        <f>A55*'Data Entry'!C$6/25</f>
        <v>1.8</v>
      </c>
      <c r="C55" s="80">
        <f>vo(B55,'Data Entry'!C$17,'Data Entry'!C$10,'Data Entry'!H$6,'Data Entry'!H$7,'Data Entry'!C$12,'Data Entry'!C$13,'Data Entry'!C$14,'Data Entry'!C$9,I$6)</f>
        <v>0.46101356065444526</v>
      </c>
      <c r="D55" s="143">
        <f>krob(B55,'Data Entry'!C$17,'Data Entry'!C$10,'Data Entry'!H$6,'Data Entry'!H$7,'Data Entry'!C$12,'Data Entry'!H$11,I$7)</f>
        <v>0.30339544459253237</v>
      </c>
    </row>
    <row r="56" spans="1:4" ht="12.75">
      <c r="A56">
        <v>16</v>
      </c>
      <c r="B56" s="80">
        <f>A56*'Data Entry'!C$6/25</f>
        <v>1.92</v>
      </c>
      <c r="C56" s="80">
        <f>vo(B56,'Data Entry'!C$17,'Data Entry'!C$10,'Data Entry'!H$6,'Data Entry'!H$7,'Data Entry'!C$12,'Data Entry'!C$13,'Data Entry'!C$14,'Data Entry'!C$9,I$6)</f>
        <v>0.5021530130636692</v>
      </c>
      <c r="D56" s="143">
        <f>krob(B56,'Data Entry'!C$17,'Data Entry'!C$10,'Data Entry'!H$6,'Data Entry'!H$7,'Data Entry'!C$12,'Data Entry'!H$11,I$7)</f>
        <v>0.32497324546589</v>
      </c>
    </row>
    <row r="57" spans="1:4" ht="12.75">
      <c r="A57">
        <v>17</v>
      </c>
      <c r="B57" s="80">
        <f>A57*'Data Entry'!C$6/25</f>
        <v>2.04</v>
      </c>
      <c r="C57" s="80">
        <f>vo(B57,'Data Entry'!C$17,'Data Entry'!C$10,'Data Entry'!H$6,'Data Entry'!H$7,'Data Entry'!C$12,'Data Entry'!C$13,'Data Entry'!C$14,'Data Entry'!C$9,I$6)</f>
        <v>0.5434048677455215</v>
      </c>
      <c r="D57" s="143">
        <f>krob(B57,'Data Entry'!C$17,'Data Entry'!C$10,'Data Entry'!H$6,'Data Entry'!H$7,'Data Entry'!C$12,'Data Entry'!H$11,I$7)</f>
        <v>0.3446782625596182</v>
      </c>
    </row>
    <row r="58" spans="1:4" ht="12.75">
      <c r="A58">
        <v>18</v>
      </c>
      <c r="B58" s="80">
        <f>A58*'Data Entry'!C$6/25</f>
        <v>2.16</v>
      </c>
      <c r="C58" s="80">
        <f>vo(B58,'Data Entry'!C$17,'Data Entry'!C$10,'Data Entry'!H$6,'Data Entry'!H$7,'Data Entry'!C$12,'Data Entry'!C$13,'Data Entry'!C$14,'Data Entry'!C$9,I$6)</f>
        <v>0.5849759642671096</v>
      </c>
      <c r="D58" s="143">
        <f>krob(B58,'Data Entry'!C$17,'Data Entry'!C$10,'Data Entry'!H$6,'Data Entry'!H$7,'Data Entry'!C$12,'Data Entry'!H$11,I$7)</f>
        <v>0.3627018876843674</v>
      </c>
    </row>
    <row r="59" spans="1:4" ht="12.75">
      <c r="A59">
        <v>19</v>
      </c>
      <c r="B59" s="80">
        <f>A59*'Data Entry'!C$6/25</f>
        <v>2.28</v>
      </c>
      <c r="C59" s="80">
        <f>vo(B59,'Data Entry'!C$17,'Data Entry'!C$10,'Data Entry'!H$6,'Data Entry'!H$7,'Data Entry'!C$12,'Data Entry'!C$13,'Data Entry'!C$14,'Data Entry'!C$9,I$6)</f>
        <v>0.6259498286719651</v>
      </c>
      <c r="D59" s="143">
        <f>krob(B59,'Data Entry'!C$17,'Data Entry'!C$10,'Data Entry'!H$6,'Data Entry'!H$7,'Data Entry'!C$12,'Data Entry'!H$11,I$7)</f>
        <v>0.37922120310092167</v>
      </c>
    </row>
    <row r="60" spans="1:4" ht="12.75">
      <c r="A60">
        <v>20</v>
      </c>
      <c r="B60" s="80">
        <f>A60*'Data Entry'!C$6/25</f>
        <v>2.4</v>
      </c>
      <c r="C60" s="80">
        <f>vo(B60,'Data Entry'!C$17,'Data Entry'!C$10,'Data Entry'!H$6,'Data Entry'!H$7,'Data Entry'!C$12,'Data Entry'!C$13,'Data Entry'!C$14,'Data Entry'!C$9,I$6)</f>
        <v>0.6672114561139164</v>
      </c>
      <c r="D60" s="143">
        <f>krob(B60,'Data Entry'!C$17,'Data Entry'!C$10,'Data Entry'!H$6,'Data Entry'!H$7,'Data Entry'!C$12,'Data Entry'!H$11,I$7)</f>
        <v>0.3943955256742184</v>
      </c>
    </row>
    <row r="61" spans="1:4" ht="12.75">
      <c r="A61">
        <v>21</v>
      </c>
      <c r="B61" s="80">
        <f>A61*'Data Entry'!C$6/25</f>
        <v>2.52</v>
      </c>
      <c r="C61" s="80">
        <f>vo(B61,'Data Entry'!C$17,'Data Entry'!C$10,'Data Entry'!H$6,'Data Entry'!H$7,'Data Entry'!C$12,'Data Entry'!C$13,'Data Entry'!C$14,'Data Entry'!C$9,I$6)</f>
        <v>0.7085199848337816</v>
      </c>
      <c r="D61" s="143">
        <f>krob(B61,'Data Entry'!C$17,'Data Entry'!C$10,'Data Entry'!H$6,'Data Entry'!H$7,'Data Entry'!C$12,'Data Entry'!H$11,I$7)</f>
        <v>0.4083677349169664</v>
      </c>
    </row>
    <row r="62" spans="1:4" ht="12.75">
      <c r="A62">
        <v>22</v>
      </c>
      <c r="B62" s="80">
        <f>A62*'Data Entry'!C$6/25</f>
        <v>2.64</v>
      </c>
      <c r="C62" s="80">
        <f>vo(B62,'Data Entry'!C$17,'Data Entry'!C$10,'Data Entry'!H$6,'Data Entry'!H$7,'Data Entry'!C$12,'Data Entry'!C$13,'Data Entry'!C$14,'Data Entry'!C$9,I$6)</f>
        <v>0.7498673273666965</v>
      </c>
      <c r="D62" s="143">
        <f>krob(B62,'Data Entry'!C$17,'Data Entry'!C$10,'Data Entry'!H$6,'Data Entry'!H$7,'Data Entry'!C$12,'Data Entry'!H$11,I$7)</f>
        <v>0.4212638490576912</v>
      </c>
    </row>
    <row r="63" spans="1:4" ht="12.75">
      <c r="A63">
        <v>23</v>
      </c>
      <c r="B63" s="80">
        <f>A63*'Data Entry'!C$6/25</f>
        <v>2.76</v>
      </c>
      <c r="C63" s="80">
        <f>vo(B63,'Data Entry'!C$17,'Data Entry'!C$10,'Data Entry'!H$6,'Data Entry'!H$7,'Data Entry'!C$12,'Data Entry'!C$13,'Data Entry'!C$14,'Data Entry'!C$9,I$6)</f>
        <v>0.7910398024340157</v>
      </c>
      <c r="D63" s="143">
        <f>krob(B63,'Data Entry'!C$17,'Data Entry'!C$10,'Data Entry'!H$6,'Data Entry'!H$7,'Data Entry'!C$12,'Data Entry'!H$11,I$7)</f>
        <v>0.43319509135554296</v>
      </c>
    </row>
    <row r="64" spans="1:4" ht="12.75">
      <c r="A64">
        <v>24</v>
      </c>
      <c r="B64" s="80">
        <f>A64*'Data Entry'!C$6/25</f>
        <v>2.88</v>
      </c>
      <c r="C64" s="80">
        <f>vo(B64,'Data Entry'!C$17,'Data Entry'!C$10,'Data Entry'!H$6,'Data Entry'!H$7,'Data Entry'!C$12,'Data Entry'!C$13,'Data Entry'!C$14,'Data Entry'!C$9,I$6)</f>
        <v>0.8324467261056561</v>
      </c>
      <c r="D64" s="143">
        <f>krob(B64,'Data Entry'!C$17,'Data Entry'!C$10,'Data Entry'!H$6,'Data Entry'!H$7,'Data Entry'!C$12,'Data Entry'!H$11,I$7)</f>
        <v>0.4442593518639724</v>
      </c>
    </row>
    <row r="65" spans="1:4" ht="12.75">
      <c r="A65">
        <v>25</v>
      </c>
      <c r="B65" s="80">
        <f>A65*'Data Entry'!C$6/25</f>
        <v>3</v>
      </c>
      <c r="C65" s="80">
        <f>vo(B65,'Data Entry'!C$17,'Data Entry'!C$10,'Data Entry'!H$6,'Data Entry'!H$7,'Data Entry'!C$12,'Data Entry'!C$13,'Data Entry'!C$14,'Data Entry'!C$9,I$6)</f>
        <v>0.8736696610645742</v>
      </c>
      <c r="D65" s="143">
        <f>krob(B65,'Data Entry'!C$17,'Data Entry'!C$10,'Data Entry'!H$6,'Data Entry'!H$7,'Data Entry'!C$12,'Data Entry'!H$11,I$7)</f>
        <v>0.4545428941843077</v>
      </c>
    </row>
  </sheetData>
  <sheetProtection password="CF0D" sheet="1" objects="1" scenarios="1"/>
  <printOptions/>
  <pageMargins left="0.75" right="0.75" top="1.5" bottom="1" header="0.5" footer="0.5"/>
  <pageSetup fitToHeight="1" fitToWidth="1" horizontalDpi="204" verticalDpi="204" orientation="landscape" scale="84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W54"/>
  <sheetViews>
    <sheetView workbookViewId="0" topLeftCell="A1">
      <selection activeCell="E2" sqref="E2"/>
    </sheetView>
  </sheetViews>
  <sheetFormatPr defaultColWidth="9.140625" defaultRowHeight="12.75"/>
  <cols>
    <col min="7" max="7" width="9.140625" style="77" customWidth="1"/>
    <col min="9" max="9" width="3.57421875" style="0" customWidth="1"/>
    <col min="12" max="12" width="9.140625" style="76" customWidth="1"/>
    <col min="13" max="13" width="13.00390625" style="80" customWidth="1"/>
    <col min="14" max="14" width="11.8515625" style="80" customWidth="1"/>
    <col min="15" max="16" width="10.140625" style="80" customWidth="1"/>
    <col min="17" max="17" width="13.140625" style="0" bestFit="1" customWidth="1"/>
    <col min="19" max="19" width="12.421875" style="0" bestFit="1" customWidth="1"/>
  </cols>
  <sheetData>
    <row r="1" spans="1:19" ht="16.5">
      <c r="A1" s="78" t="s">
        <v>79</v>
      </c>
      <c r="B1" s="79"/>
      <c r="C1" s="79"/>
      <c r="D1" s="79"/>
      <c r="E1" s="79"/>
      <c r="F1" s="182">
        <v>2.2</v>
      </c>
      <c r="G1" s="136"/>
      <c r="H1" s="87"/>
      <c r="I1" s="87"/>
      <c r="L1" s="76" t="s">
        <v>0</v>
      </c>
      <c r="M1" s="80" t="s">
        <v>1</v>
      </c>
      <c r="N1" s="80" t="s">
        <v>7</v>
      </c>
      <c r="O1" s="80" t="s">
        <v>6</v>
      </c>
      <c r="P1" s="80" t="s">
        <v>1</v>
      </c>
      <c r="Q1" s="80" t="s">
        <v>8</v>
      </c>
      <c r="S1" s="80" t="s">
        <v>48</v>
      </c>
    </row>
    <row r="2" spans="1:14" ht="15.75">
      <c r="A2" s="87"/>
      <c r="B2" s="87"/>
      <c r="C2" s="83" t="s">
        <v>80</v>
      </c>
      <c r="D2" s="84">
        <f>vo(F1,'Data Entry'!C17,'Data Entry'!C10,'Data Entry'!H6,'Data Entry'!H7,'Data Entry'!C12,'Data Entry'!C13,'Data Entry'!C14,'Data Entry'!C9,'Layer Calcs'!I6)</f>
        <v>0.5984041690772022</v>
      </c>
      <c r="E2" s="86" t="s">
        <v>34</v>
      </c>
      <c r="F2" s="84">
        <f>krob(F1,'Data Entry'!C17,'Data Entry'!C10,'Data Entry'!H6,'Data Entry'!H7,'Data Entry'!C12,'Data Entry'!H11,'Layer Calcs'!I7)</f>
        <v>0.36836720896884606</v>
      </c>
      <c r="G2" s="136"/>
      <c r="H2" s="87"/>
      <c r="I2" s="87"/>
      <c r="L2" s="76" t="s">
        <v>32</v>
      </c>
      <c r="M2" s="80">
        <f>zm(F1,'Data Entry'!C17,'Data Entry'!C10,'Data Entry'!H6,'Data Entry'!H7,'Data Entry'!C12,'Data Entry'!C13,'Data Entry'!C14)</f>
        <v>1.630000000000001</v>
      </c>
      <c r="N2" s="80">
        <v>0</v>
      </c>
    </row>
    <row r="3" spans="1:23" ht="14.25">
      <c r="A3" s="87"/>
      <c r="B3" s="87"/>
      <c r="C3" s="87"/>
      <c r="D3" s="87"/>
      <c r="E3" s="87"/>
      <c r="F3" s="87"/>
      <c r="G3" s="136"/>
      <c r="H3" s="87"/>
      <c r="I3" s="87"/>
      <c r="L3" s="76">
        <v>0</v>
      </c>
      <c r="M3" s="80">
        <f>elev(L3,F$1,'Data Entry'!C$17,'Data Entry'!C$10,'Data Entry'!H$6,'Data Entry'!H$7,'Data Entry'!C$12,'Data Entry'!C$13,'Data Entry'!C$14)</f>
        <v>1.630000000000001</v>
      </c>
      <c r="N3" s="80">
        <f>so(M3,F$1,'Data Entry'!C$17,'Data Entry'!C$10,'Data Entry'!H$6,'Data Entry'!H$7,'Data Entry'!C$12,'Data Entry'!C$13,'Data Entry'!C$14)</f>
        <v>0.05167179145163994</v>
      </c>
      <c r="O3" s="80">
        <f>sw(M3,F$1,'Data Entry'!C$17,'Data Entry'!C$10,'Data Entry'!H$7,'Data Entry'!C$12,'Data Entry'!C$14)</f>
        <v>0.15900871028389418</v>
      </c>
      <c r="P3" s="80">
        <f>elev(L3,F$1,'Data Entry'!C$17,'Data Entry'!C$10,'Data Entry'!H$6,'Data Entry'!H$7,'Data Entry'!C$12,0,0)</f>
        <v>1.580000000000001</v>
      </c>
      <c r="Q3">
        <v>0</v>
      </c>
      <c r="S3">
        <f>so(P3,F$1,'Data Entry'!C$17,'Data Entry'!C$10,'Data Entry'!H$6,'Data Entry'!H$7,'Data Entry'!C$12,0,0)</f>
        <v>0.0016222770497222663</v>
      </c>
      <c r="V3">
        <v>0</v>
      </c>
      <c r="W3">
        <v>0</v>
      </c>
    </row>
    <row r="4" spans="1:23" ht="15">
      <c r="A4" s="134" t="s">
        <v>59</v>
      </c>
      <c r="B4" s="87"/>
      <c r="C4" s="87"/>
      <c r="D4" s="87"/>
      <c r="E4" s="87"/>
      <c r="F4" s="87"/>
      <c r="G4" s="136"/>
      <c r="H4" s="87"/>
      <c r="I4" s="87"/>
      <c r="L4" s="76">
        <v>1</v>
      </c>
      <c r="M4" s="80">
        <f>elev(L4,F$1,'Data Entry'!C$17,'Data Entry'!C$10,'Data Entry'!H$6,'Data Entry'!H$7,'Data Entry'!C$12,'Data Entry'!C$13,'Data Entry'!C$14)</f>
        <v>1.594000000000001</v>
      </c>
      <c r="N4" s="80">
        <f>so(M4,F$1,'Data Entry'!C$17,'Data Entry'!C$10,'Data Entry'!H$6,'Data Entry'!H$7,'Data Entry'!C$12,'Data Entry'!C$13,'Data Entry'!C$14)</f>
        <v>0.052508820659864966</v>
      </c>
      <c r="O4" s="80">
        <f>sw(M4,F$1,'Data Entry'!C$17,'Data Entry'!C$10,'Data Entry'!H$7,'Data Entry'!C$12,'Data Entry'!C$14)</f>
        <v>0.15931102045351192</v>
      </c>
      <c r="P4" s="80">
        <f>elev(L4,F$1,'Data Entry'!C$17,'Data Entry'!C$10,'Data Entry'!H$6,'Data Entry'!H$7,'Data Entry'!C$12,0,0)</f>
        <v>1.5456666666666676</v>
      </c>
      <c r="Q4">
        <f>kro(P4,F$1,'Data Entry'!C$17,'Data Entry'!C$10,'Data Entry'!H$6,'Data Entry'!H$7,'Data Entry'!C$12,'Data Entry'!H$11)</f>
        <v>4.5667986719982525E-10</v>
      </c>
      <c r="S4">
        <f>so(P4,F$1,'Data Entry'!C$17,'Data Entry'!C$10,'Data Entry'!H$6,'Data Entry'!H$7,'Data Entry'!C$12,0,0)</f>
        <v>0.0026441903409185393</v>
      </c>
      <c r="V4">
        <v>1</v>
      </c>
      <c r="W4">
        <v>0</v>
      </c>
    </row>
    <row r="5" spans="1:19" ht="14.25">
      <c r="A5" s="87"/>
      <c r="B5" s="87"/>
      <c r="C5" s="87"/>
      <c r="D5" s="87"/>
      <c r="E5" s="87"/>
      <c r="F5" s="87"/>
      <c r="G5" s="136"/>
      <c r="H5" s="87"/>
      <c r="I5" s="87"/>
      <c r="L5" s="76">
        <v>2</v>
      </c>
      <c r="M5" s="80">
        <f>elev(L5,F$1,'Data Entry'!C$17,'Data Entry'!C$10,'Data Entry'!H$6,'Data Entry'!H$7,'Data Entry'!C$12,'Data Entry'!C$13,'Data Entry'!C$14)</f>
        <v>1.558000000000001</v>
      </c>
      <c r="N5" s="80">
        <f>so(M5,F$1,'Data Entry'!C$17,'Data Entry'!C$10,'Data Entry'!H$6,'Data Entry'!H$7,'Data Entry'!C$12,'Data Entry'!C$13,'Data Entry'!C$14)</f>
        <v>0.05349966598309395</v>
      </c>
      <c r="O5" s="80">
        <f>sw(M5,F$1,'Data Entry'!C$17,'Data Entry'!C$10,'Data Entry'!H$7,'Data Entry'!C$12,'Data Entry'!C$14)</f>
        <v>0.1596269758206176</v>
      </c>
      <c r="P5" s="80">
        <f>elev(L5,F$1,'Data Entry'!C$17,'Data Entry'!C$10,'Data Entry'!H$6,'Data Entry'!H$7,'Data Entry'!C$12,0,0)</f>
        <v>1.5113333333333343</v>
      </c>
      <c r="Q5">
        <f>kro(P5,F$1,'Data Entry'!C$17,'Data Entry'!C$10,'Data Entry'!H$6,'Data Entry'!H$7,'Data Entry'!C$12,'Data Entry'!H$11)</f>
        <v>1.5333802592510298E-09</v>
      </c>
      <c r="S5">
        <f>so(P5,F$1,'Data Entry'!C$17,'Data Entry'!C$10,'Data Entry'!H$6,'Data Entry'!H$7,'Data Entry'!C$12,0,0)</f>
        <v>0.0038544410181791007</v>
      </c>
    </row>
    <row r="6" spans="1:19" ht="14.25">
      <c r="A6" s="87"/>
      <c r="B6" s="87"/>
      <c r="C6" s="87"/>
      <c r="D6" s="87"/>
      <c r="E6" s="87"/>
      <c r="F6" s="87"/>
      <c r="G6" s="136"/>
      <c r="H6" s="87"/>
      <c r="I6" s="87"/>
      <c r="L6" s="76">
        <v>3</v>
      </c>
      <c r="M6" s="80">
        <f>elev(L6,F$1,'Data Entry'!C$17,'Data Entry'!C$10,'Data Entry'!H$6,'Data Entry'!H$7,'Data Entry'!C$12,'Data Entry'!C$13,'Data Entry'!C$14)</f>
        <v>1.522000000000001</v>
      </c>
      <c r="N6" s="80">
        <f>so(M6,F$1,'Data Entry'!C$17,'Data Entry'!C$10,'Data Entry'!H$6,'Data Entry'!H$7,'Data Entry'!C$12,'Data Entry'!C$13,'Data Entry'!C$14)</f>
        <v>0.05467532693021494</v>
      </c>
      <c r="O6" s="80">
        <f>sw(M6,F$1,'Data Entry'!C$17,'Data Entry'!C$10,'Data Entry'!H$7,'Data Entry'!C$12,'Data Entry'!C$14)</f>
        <v>0.1599573522129541</v>
      </c>
      <c r="P6" s="80">
        <f>elev(L6,F$1,'Data Entry'!C$17,'Data Entry'!C$10,'Data Entry'!H$6,'Data Entry'!H$7,'Data Entry'!C$12,0,0)</f>
        <v>1.477000000000001</v>
      </c>
      <c r="Q6">
        <f>kro(P6,F$1,'Data Entry'!C$17,'Data Entry'!C$10,'Data Entry'!H$6,'Data Entry'!H$7,'Data Entry'!C$12,'Data Entry'!H$11)</f>
        <v>4.316572197082721E-09</v>
      </c>
      <c r="S6">
        <f>so(P6,F$1,'Data Entry'!C$17,'Data Entry'!C$10,'Data Entry'!H$6,'Data Entry'!H$7,'Data Entry'!C$12,0,0)</f>
        <v>0.00529085593703919</v>
      </c>
    </row>
    <row r="7" spans="1:19" ht="14.25">
      <c r="A7" s="87"/>
      <c r="B7" s="87"/>
      <c r="C7" s="87"/>
      <c r="D7" s="87"/>
      <c r="E7" s="87"/>
      <c r="F7" s="87"/>
      <c r="G7" s="136"/>
      <c r="H7" s="87"/>
      <c r="I7" s="87"/>
      <c r="L7" s="76">
        <v>4</v>
      </c>
      <c r="M7" s="80">
        <f>elev(L7,F$1,'Data Entry'!C$17,'Data Entry'!C$10,'Data Entry'!H$6,'Data Entry'!H$7,'Data Entry'!C$12,'Data Entry'!C$13,'Data Entry'!C$14)</f>
        <v>1.4860000000000009</v>
      </c>
      <c r="N7" s="80">
        <f>so(M7,F$1,'Data Entry'!C$17,'Data Entry'!C$10,'Data Entry'!H$6,'Data Entry'!H$7,'Data Entry'!C$12,'Data Entry'!C$13,'Data Entry'!C$14)</f>
        <v>0.056074212083956645</v>
      </c>
      <c r="O7" s="80">
        <f>sw(M7,F$1,'Data Entry'!C$17,'Data Entry'!C$10,'Data Entry'!H$7,'Data Entry'!C$12,'Data Entry'!C$14)</f>
        <v>0.16030297872998223</v>
      </c>
      <c r="P7" s="80">
        <f>elev(L7,F$1,'Data Entry'!C$17,'Data Entry'!C$10,'Data Entry'!H$6,'Data Entry'!H$7,'Data Entry'!C$12,0,0)</f>
        <v>1.4426666666666674</v>
      </c>
      <c r="Q7">
        <f>kro(P7,F$1,'Data Entry'!C$17,'Data Entry'!C$10,'Data Entry'!H$6,'Data Entry'!H$7,'Data Entry'!C$12,'Data Entry'!H$11)</f>
        <v>1.0930139826384746E-08</v>
      </c>
      <c r="S7">
        <f>so(P7,F$1,'Data Entry'!C$17,'Data Entry'!C$10,'Data Entry'!H$6,'Data Entry'!H$7,'Data Entry'!C$12,0,0)</f>
        <v>0.0070002574289265256</v>
      </c>
    </row>
    <row r="8" spans="1:19" ht="14.25">
      <c r="A8" s="87"/>
      <c r="B8" s="87"/>
      <c r="C8" s="87"/>
      <c r="D8" s="87"/>
      <c r="E8" s="87"/>
      <c r="F8" s="87"/>
      <c r="G8" s="136"/>
      <c r="H8" s="87"/>
      <c r="I8" s="87"/>
      <c r="L8" s="76">
        <v>5</v>
      </c>
      <c r="M8" s="80">
        <f>elev(L8,F$1,'Data Entry'!C$17,'Data Entry'!C$10,'Data Entry'!H$6,'Data Entry'!H$7,'Data Entry'!C$12,'Data Entry'!C$13,'Data Entry'!C$14)</f>
        <v>1.4500000000000008</v>
      </c>
      <c r="N8" s="80">
        <f>so(M8,F$1,'Data Entry'!C$17,'Data Entry'!C$10,'Data Entry'!H$6,'Data Entry'!H$7,'Data Entry'!C$12,'Data Entry'!C$13,'Data Entry'!C$14)</f>
        <v>0.057744238483477234</v>
      </c>
      <c r="O8" s="80">
        <f>sw(M8,F$1,'Data Entry'!C$17,'Data Entry'!C$10,'Data Entry'!H$7,'Data Entry'!C$12,'Data Entry'!C$14)</f>
        <v>0.16066474203021464</v>
      </c>
      <c r="P8" s="80">
        <f>elev(L8,F$1,'Data Entry'!C$17,'Data Entry'!C$10,'Data Entry'!H$6,'Data Entry'!H$7,'Data Entry'!C$12,0,0)</f>
        <v>1.408333333333334</v>
      </c>
      <c r="Q8">
        <f>kro(P8,F$1,'Data Entry'!C$17,'Data Entry'!C$10,'Data Entry'!H$6,'Data Entry'!H$7,'Data Entry'!C$12,'Data Entry'!H$11)</f>
        <v>2.5867976841409227E-08</v>
      </c>
      <c r="S8">
        <f>so(P8,F$1,'Data Entry'!C$17,'Data Entry'!C$10,'Data Entry'!H$6,'Data Entry'!H$7,'Data Entry'!C$12,0,0)</f>
        <v>0.009040993775369276</v>
      </c>
    </row>
    <row r="9" spans="1:23" ht="14.25">
      <c r="A9" s="87"/>
      <c r="B9" s="87"/>
      <c r="C9" s="87"/>
      <c r="D9" s="87"/>
      <c r="E9" s="87"/>
      <c r="F9" s="87"/>
      <c r="G9" s="136"/>
      <c r="H9" s="87"/>
      <c r="I9" s="87"/>
      <c r="L9" s="76">
        <v>6</v>
      </c>
      <c r="M9" s="80">
        <f>elev(L9,F$1,'Data Entry'!C$17,'Data Entry'!C$10,'Data Entry'!H$6,'Data Entry'!H$7,'Data Entry'!C$12,'Data Entry'!C$13,'Data Entry'!C$14)</f>
        <v>1.4140000000000008</v>
      </c>
      <c r="N9" s="80">
        <f>so(M9,F$1,'Data Entry'!C$17,'Data Entry'!C$10,'Data Entry'!H$6,'Data Entry'!H$7,'Data Entry'!C$12,'Data Entry'!C$13,'Data Entry'!C$14)</f>
        <v>0.05974562502301903</v>
      </c>
      <c r="O9" s="80">
        <f>sw(M9,F$1,'Data Entry'!C$17,'Data Entry'!C$10,'Data Entry'!H$7,'Data Entry'!C$12,'Data Entry'!C$14)</f>
        <v>0.16104359101383098</v>
      </c>
      <c r="P9" s="80">
        <f>elev(L9,F$1,'Data Entry'!C$17,'Data Entry'!C$10,'Data Entry'!H$6,'Data Entry'!H$7,'Data Entry'!C$12,0,0)</f>
        <v>1.3740000000000008</v>
      </c>
      <c r="Q9">
        <f>kro(P9,F$1,'Data Entry'!C$17,'Data Entry'!C$10,'Data Entry'!H$6,'Data Entry'!H$7,'Data Entry'!C$12,'Data Entry'!H$11)</f>
        <v>5.858578255613014E-08</v>
      </c>
      <c r="S9">
        <f>so(P9,F$1,'Data Entry'!C$17,'Data Entry'!C$10,'Data Entry'!H$6,'Data Entry'!H$7,'Data Entry'!C$12,0,0)</f>
        <v>0.011486296926718598</v>
      </c>
      <c r="V9" t="s">
        <v>60</v>
      </c>
      <c r="W9" t="s">
        <v>61</v>
      </c>
    </row>
    <row r="10" spans="1:23" ht="14.25">
      <c r="A10" s="87"/>
      <c r="B10" s="87"/>
      <c r="C10" s="87"/>
      <c r="D10" s="87"/>
      <c r="E10" s="87"/>
      <c r="F10" s="87"/>
      <c r="G10" s="136"/>
      <c r="H10" s="87"/>
      <c r="I10" s="87"/>
      <c r="L10" s="76">
        <v>7</v>
      </c>
      <c r="M10" s="80">
        <f>elev(L10,F$1,'Data Entry'!C$17,'Data Entry'!C$10,'Data Entry'!H$6,'Data Entry'!H$7,'Data Entry'!C$12,'Data Entry'!C$13,'Data Entry'!C$14)</f>
        <v>1.3780000000000008</v>
      </c>
      <c r="N10" s="80">
        <f>so(M10,F$1,'Data Entry'!C$17,'Data Entry'!C$10,'Data Entry'!H$6,'Data Entry'!H$7,'Data Entry'!C$12,'Data Entry'!C$13,'Data Entry'!C$14)</f>
        <v>0.062154642137877934</v>
      </c>
      <c r="O10" s="80">
        <f>sw(M10,F$1,'Data Entry'!C$17,'Data Entry'!C$10,'Data Entry'!H$7,'Data Entry'!C$12,'Data Entry'!C$14)</f>
        <v>0.16144054194155072</v>
      </c>
      <c r="P10" s="80">
        <f>elev(L10,F$1,'Data Entry'!C$17,'Data Entry'!C$10,'Data Entry'!H$6,'Data Entry'!H$7,'Data Entry'!C$12,0,0)</f>
        <v>1.3396666666666674</v>
      </c>
      <c r="Q10">
        <f>kro(P10,F$1,'Data Entry'!C$17,'Data Entry'!C$10,'Data Entry'!H$6,'Data Entry'!H$7,'Data Entry'!C$12,'Data Entry'!H$11)</f>
        <v>1.290053452718888E-07</v>
      </c>
      <c r="S10">
        <f>so(P10,F$1,'Data Entry'!C$17,'Data Entry'!C$10,'Data Entry'!H$6,'Data Entry'!H$7,'Data Entry'!C$12,0,0)</f>
        <v>0.014428774560393605</v>
      </c>
      <c r="V10">
        <f>'Data Entry'!H10</f>
        <v>2.079999999999999</v>
      </c>
      <c r="W10">
        <v>0</v>
      </c>
    </row>
    <row r="11" spans="1:23" ht="14.25">
      <c r="A11" s="87"/>
      <c r="B11" s="87"/>
      <c r="C11" s="87"/>
      <c r="D11" s="87"/>
      <c r="E11" s="87"/>
      <c r="F11" s="87"/>
      <c r="G11" s="136"/>
      <c r="H11" s="87"/>
      <c r="I11" s="87"/>
      <c r="L11" s="76">
        <v>8</v>
      </c>
      <c r="M11" s="80">
        <f>elev(L11,F$1,'Data Entry'!C$17,'Data Entry'!C$10,'Data Entry'!H$6,'Data Entry'!H$7,'Data Entry'!C$12,'Data Entry'!C$13,'Data Entry'!C$14)</f>
        <v>1.3420000000000007</v>
      </c>
      <c r="N11" s="80">
        <f>so(M11,F$1,'Data Entry'!C$17,'Data Entry'!C$10,'Data Entry'!H$6,'Data Entry'!H$7,'Data Entry'!C$12,'Data Entry'!C$13,'Data Entry'!C$14)</f>
        <v>0.06506869060291723</v>
      </c>
      <c r="O11" s="80">
        <f>sw(M11,F$1,'Data Entry'!C$17,'Data Entry'!C$10,'Data Entry'!H$7,'Data Entry'!C$12,'Data Entry'!C$14)</f>
        <v>0.16185668403543582</v>
      </c>
      <c r="P11" s="80">
        <f>elev(L11,F$1,'Data Entry'!C$17,'Data Entry'!C$10,'Data Entry'!H$6,'Data Entry'!H$7,'Data Entry'!C$12,0,0)</f>
        <v>1.3053333333333341</v>
      </c>
      <c r="Q11">
        <f>kro(P11,F$1,'Data Entry'!C$17,'Data Entry'!C$10,'Data Entry'!H$6,'Data Entry'!H$7,'Data Entry'!C$12,'Data Entry'!H$11)</f>
        <v>2.793813644424571E-07</v>
      </c>
      <c r="S11">
        <f>so(P11,F$1,'Data Entry'!C$17,'Data Entry'!C$10,'Data Entry'!H$6,'Data Entry'!H$7,'Data Entry'!C$12,0,0)</f>
        <v>0.017986469223652116</v>
      </c>
      <c r="V11">
        <f>V10</f>
        <v>2.079999999999999</v>
      </c>
      <c r="W11">
        <f>'Data Entry'!C13</f>
        <v>0.05</v>
      </c>
    </row>
    <row r="12" spans="1:23" ht="14.25">
      <c r="A12" s="87"/>
      <c r="B12" s="87"/>
      <c r="C12" s="87"/>
      <c r="D12" s="87"/>
      <c r="E12" s="87"/>
      <c r="F12" s="87"/>
      <c r="G12" s="136"/>
      <c r="H12" s="87"/>
      <c r="I12" s="87"/>
      <c r="L12" s="76">
        <v>9</v>
      </c>
      <c r="M12" s="80">
        <f>elev(L12,F$1,'Data Entry'!C$17,'Data Entry'!C$10,'Data Entry'!H$6,'Data Entry'!H$7,'Data Entry'!C$12,'Data Entry'!C$13,'Data Entry'!C$14)</f>
        <v>1.3060000000000007</v>
      </c>
      <c r="N12" s="80">
        <f>so(M12,F$1,'Data Entry'!C$17,'Data Entry'!C$10,'Data Entry'!H$6,'Data Entry'!H$7,'Data Entry'!C$12,'Data Entry'!C$13,'Data Entry'!C$14)</f>
        <v>0.06861324301984906</v>
      </c>
      <c r="O12" s="80">
        <f>sw(M12,F$1,'Data Entry'!C$17,'Data Entry'!C$10,'Data Entry'!H$7,'Data Entry'!C$12,'Data Entry'!C$14)</f>
        <v>0.1622931856125818</v>
      </c>
      <c r="P12" s="80">
        <f>elev(L12,F$1,'Data Entry'!C$17,'Data Entry'!C$10,'Data Entry'!H$6,'Data Entry'!H$7,'Data Entry'!C$12,0,0)</f>
        <v>1.2710000000000008</v>
      </c>
      <c r="Q12">
        <f>kro(P12,F$1,'Data Entry'!C$17,'Data Entry'!C$10,'Data Entry'!H$6,'Data Entry'!H$7,'Data Entry'!C$12,'Data Entry'!H$11)</f>
        <v>6.003495697854139E-07</v>
      </c>
      <c r="S12">
        <f>so(P12,F$1,'Data Entry'!C$17,'Data Entry'!C$10,'Data Entry'!H$6,'Data Entry'!H$7,'Data Entry'!C$12,0,0)</f>
        <v>0.022311096990610006</v>
      </c>
      <c r="V12" s="122">
        <v>0</v>
      </c>
      <c r="W12">
        <f>W11</f>
        <v>0.05</v>
      </c>
    </row>
    <row r="13" spans="1:19" ht="14.25">
      <c r="A13" s="87"/>
      <c r="B13" s="87"/>
      <c r="C13" s="87"/>
      <c r="D13" s="87"/>
      <c r="E13" s="87"/>
      <c r="F13" s="87"/>
      <c r="G13" s="136"/>
      <c r="H13" s="87"/>
      <c r="I13" s="87"/>
      <c r="L13" s="76">
        <v>10</v>
      </c>
      <c r="M13" s="80">
        <f>elev(L13,F$1,'Data Entry'!C$17,'Data Entry'!C$10,'Data Entry'!H$6,'Data Entry'!H$7,'Data Entry'!C$12,'Data Entry'!C$13,'Data Entry'!C$14)</f>
        <v>1.2700000000000007</v>
      </c>
      <c r="N13" s="80">
        <f>so(M13,F$1,'Data Entry'!C$17,'Data Entry'!C$10,'Data Entry'!H$6,'Data Entry'!H$7,'Data Entry'!C$12,'Data Entry'!C$13,'Data Entry'!C$14)</f>
        <v>0.07295141550148176</v>
      </c>
      <c r="O13" s="80">
        <f>sw(M13,F$1,'Data Entry'!C$17,'Data Entry'!C$10,'Data Entry'!H$7,'Data Entry'!C$12,'Data Entry'!C$14)</f>
        <v>0.16275130080860287</v>
      </c>
      <c r="P13" s="80">
        <f>elev(L13,F$1,'Data Entry'!C$17,'Data Entry'!C$10,'Data Entry'!H$6,'Data Entry'!H$7,'Data Entry'!C$12,0,0)</f>
        <v>1.2366666666666672</v>
      </c>
      <c r="Q13">
        <f>kro(P13,F$1,'Data Entry'!C$17,'Data Entry'!C$10,'Data Entry'!H$6,'Data Entry'!H$7,'Data Entry'!C$12,'Data Entry'!H$11)</f>
        <v>1.2893007433991117E-06</v>
      </c>
      <c r="S13">
        <f>so(P13,F$1,'Data Entry'!C$17,'Data Entry'!C$10,'Data Entry'!H$6,'Data Entry'!H$7,'Data Entry'!C$12,0,0)</f>
        <v>0.027599333707790434</v>
      </c>
    </row>
    <row r="14" spans="1:19" ht="14.25">
      <c r="A14" s="87"/>
      <c r="B14" s="87"/>
      <c r="C14" s="87"/>
      <c r="D14" s="87"/>
      <c r="E14" s="87"/>
      <c r="F14" s="87"/>
      <c r="G14" s="136"/>
      <c r="H14" s="87"/>
      <c r="I14" s="87"/>
      <c r="L14" s="76">
        <v>11</v>
      </c>
      <c r="M14" s="80">
        <f>elev(L14,F$1,'Data Entry'!C$17,'Data Entry'!C$10,'Data Entry'!H$6,'Data Entry'!H$7,'Data Entry'!C$12,'Data Entry'!C$13,'Data Entry'!C$14)</f>
        <v>1.2340000000000007</v>
      </c>
      <c r="N14" s="80">
        <f>so(M14,F$1,'Data Entry'!C$17,'Data Entry'!C$10,'Data Entry'!H$6,'Data Entry'!H$7,'Data Entry'!C$12,'Data Entry'!C$13,'Data Entry'!C$14)</f>
        <v>0.07829727587022592</v>
      </c>
      <c r="O14" s="80">
        <f>sw(M14,F$1,'Data Entry'!C$17,'Data Entry'!C$10,'Data Entry'!H$7,'Data Entry'!C$12,'Data Entry'!C$14)</f>
        <v>0.16323237695451975</v>
      </c>
      <c r="P14" s="80">
        <f>elev(L14,F$1,'Data Entry'!C$17,'Data Entry'!C$10,'Data Entry'!H$6,'Data Entry'!H$7,'Data Entry'!C$12,0,0)</f>
        <v>1.202333333333334</v>
      </c>
      <c r="Q14">
        <f>kro(P14,F$1,'Data Entry'!C$17,'Data Entry'!C$10,'Data Entry'!H$6,'Data Entry'!H$7,'Data Entry'!C$12,'Data Entry'!H$11)</f>
        <v>2.784281976917885E-06</v>
      </c>
      <c r="S14">
        <f>so(P14,F$1,'Data Entry'!C$17,'Data Entry'!C$10,'Data Entry'!H$6,'Data Entry'!H$7,'Data Entry'!C$12,0,0)</f>
        <v>0.03410837547794529</v>
      </c>
    </row>
    <row r="15" spans="1:23" ht="14.25">
      <c r="A15" s="87"/>
      <c r="B15" s="87"/>
      <c r="C15" s="87"/>
      <c r="D15" s="87"/>
      <c r="E15" s="87"/>
      <c r="F15" s="87"/>
      <c r="G15" s="136"/>
      <c r="H15" s="87"/>
      <c r="I15" s="87"/>
      <c r="L15" s="76">
        <v>12</v>
      </c>
      <c r="M15" s="80">
        <f>elev(L15,F$1,'Data Entry'!C$17,'Data Entry'!C$10,'Data Entry'!H$6,'Data Entry'!H$7,'Data Entry'!C$12,'Data Entry'!C$13,'Data Entry'!C$14)</f>
        <v>1.1980000000000006</v>
      </c>
      <c r="N15" s="80">
        <f>so(M15,F$1,'Data Entry'!C$17,'Data Entry'!C$10,'Data Entry'!H$6,'Data Entry'!H$7,'Data Entry'!C$12,'Data Entry'!C$13,'Data Entry'!C$14)</f>
        <v>0.08493447821489539</v>
      </c>
      <c r="O15" s="80">
        <f>sw(M15,F$1,'Data Entry'!C$17,'Data Entry'!C$10,'Data Entry'!H$7,'Data Entry'!C$12,'Data Entry'!C$14)</f>
        <v>0.16373786267821777</v>
      </c>
      <c r="P15" s="80">
        <f>elev(L15,F$1,'Data Entry'!C$17,'Data Entry'!C$10,'Data Entry'!H$6,'Data Entry'!H$7,'Data Entry'!C$12,0,0)</f>
        <v>1.1680000000000006</v>
      </c>
      <c r="Q15">
        <f>kro(P15,F$1,'Data Entry'!C$17,'Data Entry'!C$10,'Data Entry'!H$6,'Data Entry'!H$7,'Data Entry'!C$12,'Data Entry'!H$11)</f>
        <v>6.079137072235017E-06</v>
      </c>
      <c r="S15">
        <f>so(P15,F$1,'Data Entry'!C$17,'Data Entry'!C$10,'Data Entry'!H$6,'Data Entry'!H$7,'Data Entry'!C$12,0,0)</f>
        <v>0.04217748748653516</v>
      </c>
      <c r="V15">
        <f>'Data Entry'!H9</f>
        <v>-2.25</v>
      </c>
      <c r="W15">
        <v>0</v>
      </c>
    </row>
    <row r="16" spans="1:23" ht="14.25">
      <c r="A16" s="87"/>
      <c r="B16" s="87"/>
      <c r="C16" s="87"/>
      <c r="D16" s="87"/>
      <c r="E16" s="87"/>
      <c r="F16" s="87"/>
      <c r="G16" s="136"/>
      <c r="H16" s="87"/>
      <c r="I16" s="87"/>
      <c r="L16" s="76">
        <v>13</v>
      </c>
      <c r="M16" s="80">
        <f>elev(L16,F$1,'Data Entry'!C$17,'Data Entry'!C$10,'Data Entry'!H$6,'Data Entry'!H$7,'Data Entry'!C$12,'Data Entry'!C$13,'Data Entry'!C$14)</f>
        <v>1.1620000000000006</v>
      </c>
      <c r="N16" s="80">
        <f>so(M16,F$1,'Data Entry'!C$17,'Data Entry'!C$10,'Data Entry'!H$6,'Data Entry'!H$7,'Data Entry'!C$12,'Data Entry'!C$13,'Data Entry'!C$14)</f>
        <v>0.09324248071803398</v>
      </c>
      <c r="O16" s="80">
        <f>sw(M16,F$1,'Data Entry'!C$17,'Data Entry'!C$10,'Data Entry'!H$7,'Data Entry'!C$12,'Data Entry'!C$14)</f>
        <v>0.164269316810172</v>
      </c>
      <c r="P16" s="80">
        <f>elev(L16,F$1,'Data Entry'!C$17,'Data Entry'!C$10,'Data Entry'!H$6,'Data Entry'!H$7,'Data Entry'!C$12,0,0)</f>
        <v>1.1336666666666673</v>
      </c>
      <c r="Q16">
        <f>kro(P16,F$1,'Data Entry'!C$17,'Data Entry'!C$10,'Data Entry'!H$6,'Data Entry'!H$7,'Data Entry'!C$12,'Data Entry'!H$11)</f>
        <v>1.3486068619070013E-05</v>
      </c>
      <c r="S16">
        <f>so(P16,F$1,'Data Entry'!C$17,'Data Entry'!C$10,'Data Entry'!H$6,'Data Entry'!H$7,'Data Entry'!C$12,0,0)</f>
        <v>0.052257874735751275</v>
      </c>
      <c r="V16">
        <f>V15</f>
        <v>-2.25</v>
      </c>
      <c r="W16">
        <f>'Data Entry'!C14</f>
        <v>0.15</v>
      </c>
    </row>
    <row r="17" spans="1:23" ht="14.25">
      <c r="A17" s="87"/>
      <c r="B17" s="87"/>
      <c r="C17" s="87"/>
      <c r="D17" s="87"/>
      <c r="E17" s="87"/>
      <c r="F17" s="87"/>
      <c r="G17" s="136"/>
      <c r="H17" s="87"/>
      <c r="I17" s="87"/>
      <c r="L17" s="76">
        <v>14</v>
      </c>
      <c r="M17" s="80">
        <f>elev(L17,F$1,'Data Entry'!C$17,'Data Entry'!C$10,'Data Entry'!H$6,'Data Entry'!H$7,'Data Entry'!C$12,'Data Entry'!C$13,'Data Entry'!C$14)</f>
        <v>1.1260000000000006</v>
      </c>
      <c r="N17" s="80">
        <f>so(M17,F$1,'Data Entry'!C$17,'Data Entry'!C$10,'Data Entry'!H$6,'Data Entry'!H$7,'Data Entry'!C$12,'Data Entry'!C$13,'Data Entry'!C$14)</f>
        <v>0.10373345665513735</v>
      </c>
      <c r="O17" s="80">
        <f>sw(M17,F$1,'Data Entry'!C$17,'Data Entry'!C$10,'Data Entry'!H$7,'Data Entry'!C$12,'Data Entry'!C$14)</f>
        <v>0.164828418182771</v>
      </c>
      <c r="P17" s="80">
        <f>elev(L17,F$1,'Data Entry'!C$17,'Data Entry'!C$10,'Data Entry'!H$6,'Data Entry'!H$7,'Data Entry'!C$12,0,0)</f>
        <v>1.099333333333334</v>
      </c>
      <c r="Q17">
        <f>kro(P17,F$1,'Data Entry'!C$17,'Data Entry'!C$10,'Data Entry'!H$6,'Data Entry'!H$7,'Data Entry'!C$12,'Data Entry'!H$11)</f>
        <v>3.0535682563656466E-05</v>
      </c>
      <c r="S17">
        <f>so(P17,F$1,'Data Entry'!C$17,'Data Entry'!C$10,'Data Entry'!H$6,'Data Entry'!H$7,'Data Entry'!C$12,0,0)</f>
        <v>0.06495387624679243</v>
      </c>
      <c r="V17" s="122">
        <v>0</v>
      </c>
      <c r="W17">
        <f>W16</f>
        <v>0.15</v>
      </c>
    </row>
    <row r="18" spans="1:23" ht="14.25">
      <c r="A18" s="87"/>
      <c r="B18" s="87"/>
      <c r="C18" s="87"/>
      <c r="D18" s="87"/>
      <c r="E18" s="87"/>
      <c r="F18" s="87"/>
      <c r="G18" s="136"/>
      <c r="H18" s="87"/>
      <c r="I18" s="87"/>
      <c r="L18" s="76">
        <v>15</v>
      </c>
      <c r="M18" s="80">
        <f>elev(L18,F$1,'Data Entry'!C$17,'Data Entry'!C$10,'Data Entry'!H$6,'Data Entry'!H$7,'Data Entry'!C$12,'Data Entry'!C$13,'Data Entry'!C$14)</f>
        <v>1.0900000000000005</v>
      </c>
      <c r="N18" s="80">
        <f>so(M18,F$1,'Data Entry'!C$17,'Data Entry'!C$10,'Data Entry'!H$6,'Data Entry'!H$7,'Data Entry'!C$12,'Data Entry'!C$13,'Data Entry'!C$14)</f>
        <v>0.11710390441262718</v>
      </c>
      <c r="O18" s="80">
        <f>sw(M18,F$1,'Data Entry'!C$17,'Data Entry'!C$10,'Data Entry'!H$7,'Data Entry'!C$12,'Data Entry'!C$14)</f>
        <v>0.16541697642345954</v>
      </c>
      <c r="P18" s="80">
        <f>elev(L18,F$1,'Data Entry'!C$17,'Data Entry'!C$10,'Data Entry'!H$6,'Data Entry'!H$7,'Data Entry'!C$12,0,0)</f>
        <v>1.0650000000000004</v>
      </c>
      <c r="Q18">
        <f>kro(P18,F$1,'Data Entry'!C$17,'Data Entry'!C$10,'Data Entry'!H$6,'Data Entry'!H$7,'Data Entry'!C$12,'Data Entry'!H$11)</f>
        <v>7.085483256375444E-05</v>
      </c>
      <c r="S18">
        <f>so(P18,F$1,'Data Entry'!C$17,'Data Entry'!C$10,'Data Entry'!H$6,'Data Entry'!H$7,'Data Entry'!C$12,0,0)</f>
        <v>0.0810788603798632</v>
      </c>
      <c r="V18">
        <v>0</v>
      </c>
      <c r="W18">
        <f>W12</f>
        <v>0.05</v>
      </c>
    </row>
    <row r="19" spans="1:19" ht="14.25">
      <c r="A19" s="87"/>
      <c r="B19" s="87"/>
      <c r="C19" s="87"/>
      <c r="D19" s="87"/>
      <c r="E19" s="87"/>
      <c r="F19" s="87"/>
      <c r="G19" s="136"/>
      <c r="H19" s="87"/>
      <c r="I19" s="87"/>
      <c r="L19" s="76">
        <v>16</v>
      </c>
      <c r="M19" s="80">
        <f>elev(L19,F$1,'Data Entry'!C$17,'Data Entry'!C$10,'Data Entry'!H$6,'Data Entry'!H$7,'Data Entry'!C$12,'Data Entry'!C$13,'Data Entry'!C$14)</f>
        <v>1.0540000000000005</v>
      </c>
      <c r="N19" s="80">
        <f>so(M19,F$1,'Data Entry'!C$17,'Data Entry'!C$10,'Data Entry'!H$6,'Data Entry'!H$7,'Data Entry'!C$12,'Data Entry'!C$13,'Data Entry'!C$14)</f>
        <v>0.13430530954116993</v>
      </c>
      <c r="O19" s="80">
        <f>sw(M19,F$1,'Data Entry'!C$17,'Data Entry'!C$10,'Data Entry'!H$7,'Data Entry'!C$12,'Data Entry'!C$14)</f>
        <v>0.1660369438542367</v>
      </c>
      <c r="P19" s="80">
        <f>elev(L19,F$1,'Data Entry'!C$17,'Data Entry'!C$10,'Data Entry'!H$6,'Data Entry'!H$7,'Data Entry'!C$12,0,0)</f>
        <v>1.0306666666666673</v>
      </c>
      <c r="Q19">
        <f>kro(P19,F$1,'Data Entry'!C$17,'Data Entry'!C$10,'Data Entry'!H$6,'Data Entry'!H$7,'Data Entry'!C$12,'Data Entry'!H$11)</f>
        <v>0.00016905520303562365</v>
      </c>
      <c r="S19">
        <f>so(P19,F$1,'Data Entry'!C$17,'Data Entry'!C$10,'Data Entry'!H$6,'Data Entry'!H$7,'Data Entry'!C$12,0,0)</f>
        <v>0.1017282570693244</v>
      </c>
    </row>
    <row r="20" spans="1:23" ht="14.25">
      <c r="A20" s="87"/>
      <c r="B20" s="87"/>
      <c r="C20" s="87"/>
      <c r="D20" s="87"/>
      <c r="E20" s="87"/>
      <c r="F20" s="87"/>
      <c r="G20" s="136"/>
      <c r="H20" s="87"/>
      <c r="I20" s="87"/>
      <c r="L20" s="76">
        <v>17</v>
      </c>
      <c r="M20" s="80">
        <f>elev(L20,F$1,'Data Entry'!C$17,'Data Entry'!C$10,'Data Entry'!H$6,'Data Entry'!H$7,'Data Entry'!C$12,'Data Entry'!C$13,'Data Entry'!C$14)</f>
        <v>1.0180000000000005</v>
      </c>
      <c r="N20" s="80">
        <f>so(M20,F$1,'Data Entry'!C$17,'Data Entry'!C$10,'Data Entry'!H$6,'Data Entry'!H$7,'Data Entry'!C$12,'Data Entry'!C$13,'Data Entry'!C$14)</f>
        <v>0.15663617841964492</v>
      </c>
      <c r="O20" s="80">
        <f>sw(M20,F$1,'Data Entry'!C$17,'Data Entry'!C$10,'Data Entry'!H$7,'Data Entry'!C$12,'Data Entry'!C$14)</f>
        <v>0.16669042862398414</v>
      </c>
      <c r="P20" s="80">
        <f>elev(L20,F$1,'Data Entry'!C$17,'Data Entry'!C$10,'Data Entry'!H$6,'Data Entry'!H$7,'Data Entry'!C$12,0,0)</f>
        <v>0.9963333333333337</v>
      </c>
      <c r="Q20">
        <f>kro(P20,F$1,'Data Entry'!C$17,'Data Entry'!C$10,'Data Entry'!H$6,'Data Entry'!H$7,'Data Entry'!C$12,'Data Entry'!H$11)</f>
        <v>0.00041564392780350817</v>
      </c>
      <c r="S20">
        <f>so(P20,F$1,'Data Entry'!C$17,'Data Entry'!C$10,'Data Entry'!H$6,'Data Entry'!H$7,'Data Entry'!C$12,0,0)</f>
        <v>0.12836717877631104</v>
      </c>
      <c r="V20">
        <f>V21</f>
        <v>0.55</v>
      </c>
      <c r="W20">
        <v>0.99</v>
      </c>
    </row>
    <row r="21" spans="1:23" ht="14.25">
      <c r="A21" s="87"/>
      <c r="B21" s="87"/>
      <c r="C21" s="87"/>
      <c r="D21" s="87"/>
      <c r="E21" s="87"/>
      <c r="F21" s="87"/>
      <c r="G21" s="136"/>
      <c r="H21" s="87"/>
      <c r="I21" s="87"/>
      <c r="L21" s="76">
        <v>18</v>
      </c>
      <c r="M21" s="80">
        <f>elev(L21,F$1,'Data Entry'!C$17,'Data Entry'!C$10,'Data Entry'!H$6,'Data Entry'!H$7,'Data Entry'!C$12,'Data Entry'!C$13,'Data Entry'!C$14)</f>
        <v>0.9820000000000003</v>
      </c>
      <c r="N21" s="80">
        <f>so(M21,F$1,'Data Entry'!C$17,'Data Entry'!C$10,'Data Entry'!H$6,'Data Entry'!H$7,'Data Entry'!C$12,'Data Entry'!C$13,'Data Entry'!C$14)</f>
        <v>0.18584836127966833</v>
      </c>
      <c r="O21" s="80">
        <f>sw(M21,F$1,'Data Entry'!C$17,'Data Entry'!C$10,'Data Entry'!H$7,'Data Entry'!C$12,'Data Entry'!C$14)</f>
        <v>0.16737970921588283</v>
      </c>
      <c r="P21" s="80">
        <f>elev(L21,F$1,'Data Entry'!C$17,'Data Entry'!C$10,'Data Entry'!H$6,'Data Entry'!H$7,'Data Entry'!C$12,0,0)</f>
        <v>0.9620000000000004</v>
      </c>
      <c r="Q21">
        <f>kro(P21,F$1,'Data Entry'!C$17,'Data Entry'!C$10,'Data Entry'!H$6,'Data Entry'!H$7,'Data Entry'!C$12,'Data Entry'!H$11)</f>
        <v>0.001053068269125146</v>
      </c>
      <c r="S21">
        <f>so(P21,F$1,'Data Entry'!C$17,'Data Entry'!C$10,'Data Entry'!H$6,'Data Entry'!H$7,'Data Entry'!C$12,0,0)</f>
        <v>0.16291447161986766</v>
      </c>
      <c r="V21">
        <f>'Distribution Charts'!F1*(1-'Data Entry'!C17)</f>
        <v>0.55</v>
      </c>
      <c r="W21">
        <v>1</v>
      </c>
    </row>
    <row r="22" spans="1:23" ht="14.25">
      <c r="A22" s="87"/>
      <c r="B22" s="87"/>
      <c r="C22" s="87"/>
      <c r="D22" s="87"/>
      <c r="E22" s="87"/>
      <c r="F22" s="87"/>
      <c r="G22" s="136"/>
      <c r="H22" s="87"/>
      <c r="I22" s="87"/>
      <c r="L22" s="76">
        <v>19</v>
      </c>
      <c r="M22" s="80">
        <f>elev(L22,F$1,'Data Entry'!C$17,'Data Entry'!C$10,'Data Entry'!H$6,'Data Entry'!H$7,'Data Entry'!C$12,'Data Entry'!C$13,'Data Entry'!C$14)</f>
        <v>0.9460000000000004</v>
      </c>
      <c r="N22" s="80">
        <f>so(M22,F$1,'Data Entry'!C$17,'Data Entry'!C$10,'Data Entry'!H$6,'Data Entry'!H$7,'Data Entry'!C$12,'Data Entry'!C$13,'Data Entry'!C$14)</f>
        <v>0.2242316037180774</v>
      </c>
      <c r="O22" s="80">
        <f>sw(M22,F$1,'Data Entry'!C$17,'Data Entry'!C$10,'Data Entry'!H$7,'Data Entry'!C$12,'Data Entry'!C$14)</f>
        <v>0.16810725049005806</v>
      </c>
      <c r="P22" s="80">
        <f>elev(L22,F$1,'Data Entry'!C$17,'Data Entry'!C$10,'Data Entry'!H$6,'Data Entry'!H$7,'Data Entry'!C$12,0,0)</f>
        <v>0.927666666666667</v>
      </c>
      <c r="Q22">
        <f>kro(P22,F$1,'Data Entry'!C$17,'Data Entry'!C$10,'Data Entry'!H$6,'Data Entry'!H$7,'Data Entry'!C$12,'Data Entry'!H$11)</f>
        <v>0.002739113852653445</v>
      </c>
      <c r="S22">
        <f>so(P22,F$1,'Data Entry'!C$17,'Data Entry'!C$10,'Data Entry'!H$6,'Data Entry'!H$7,'Data Entry'!C$12,0,0)</f>
        <v>0.20776469144874374</v>
      </c>
      <c r="V22">
        <f>-F1*'Data Entry'!C17</f>
        <v>-1.6500000000000001</v>
      </c>
      <c r="W22">
        <v>1</v>
      </c>
    </row>
    <row r="23" spans="1:23" ht="14.25">
      <c r="A23" s="87"/>
      <c r="B23" s="87"/>
      <c r="C23" s="87"/>
      <c r="D23" s="87"/>
      <c r="E23" s="87"/>
      <c r="F23" s="87"/>
      <c r="G23" s="136"/>
      <c r="H23" s="87"/>
      <c r="I23" s="87"/>
      <c r="L23" s="76">
        <v>20</v>
      </c>
      <c r="M23" s="80">
        <f>elev(L23,F$1,'Data Entry'!C$17,'Data Entry'!C$10,'Data Entry'!H$6,'Data Entry'!H$7,'Data Entry'!C$12,'Data Entry'!C$13,'Data Entry'!C$14)</f>
        <v>0.9100000000000004</v>
      </c>
      <c r="N23" s="80">
        <f>so(M23,F$1,'Data Entry'!C$17,'Data Entry'!C$10,'Data Entry'!H$6,'Data Entry'!H$7,'Data Entry'!C$12,'Data Entry'!C$13,'Data Entry'!C$14)</f>
        <v>0.27456621202986214</v>
      </c>
      <c r="O23" s="80">
        <f>sw(M23,F$1,'Data Entry'!C$17,'Data Entry'!C$10,'Data Entry'!H$7,'Data Entry'!C$12,'Data Entry'!C$14)</f>
        <v>0.16887572144185917</v>
      </c>
      <c r="P23" s="80">
        <f>elev(L23,F$1,'Data Entry'!C$17,'Data Entry'!C$10,'Data Entry'!H$6,'Data Entry'!H$7,'Data Entry'!C$12,0,0)</f>
        <v>0.8933333333333336</v>
      </c>
      <c r="Q23">
        <f>kro(P23,F$1,'Data Entry'!C$17,'Data Entry'!C$10,'Data Entry'!H$6,'Data Entry'!H$7,'Data Entry'!C$12,'Data Entry'!H$11)</f>
        <v>0.007241025960351391</v>
      </c>
      <c r="S23">
        <f>so(P23,F$1,'Data Entry'!C$17,'Data Entry'!C$10,'Data Entry'!H$6,'Data Entry'!H$7,'Data Entry'!C$12,0,0)</f>
        <v>0.26560070193525287</v>
      </c>
      <c r="V23">
        <f>V22</f>
        <v>-1.6500000000000001</v>
      </c>
      <c r="W23">
        <v>0.99</v>
      </c>
    </row>
    <row r="24" spans="1:23" ht="14.25">
      <c r="A24" s="87"/>
      <c r="B24" s="87"/>
      <c r="C24" s="87"/>
      <c r="D24" s="87"/>
      <c r="E24" s="87"/>
      <c r="F24" s="87"/>
      <c r="G24" s="136"/>
      <c r="H24" s="87"/>
      <c r="I24" s="87"/>
      <c r="L24" s="76">
        <v>21</v>
      </c>
      <c r="M24" s="80">
        <f>elev(L24,F$1,'Data Entry'!C$17,'Data Entry'!C$10,'Data Entry'!H$6,'Data Entry'!H$7,'Data Entry'!C$12,'Data Entry'!C$13,'Data Entry'!C$14)</f>
        <v>0.8740000000000003</v>
      </c>
      <c r="N24" s="80">
        <f>so(M24,F$1,'Data Entry'!C$17,'Data Entry'!C$10,'Data Entry'!H$6,'Data Entry'!H$7,'Data Entry'!C$12,'Data Entry'!C$13,'Data Entry'!C$14)</f>
        <v>0.3396786501645148</v>
      </c>
      <c r="O24" s="80">
        <f>sw(M24,F$1,'Data Entry'!C$17,'Data Entry'!C$10,'Data Entry'!H$7,'Data Entry'!C$12,'Data Entry'!C$14)</f>
        <v>0.16968801487915536</v>
      </c>
      <c r="P24" s="80">
        <f>elev(L24,F$1,'Data Entry'!C$17,'Data Entry'!C$10,'Data Entry'!H$6,'Data Entry'!H$7,'Data Entry'!C$12,0,0)</f>
        <v>0.8590000000000003</v>
      </c>
      <c r="Q24">
        <f>kro(P24,F$1,'Data Entry'!C$17,'Data Entry'!C$10,'Data Entry'!H$6,'Data Entry'!H$7,'Data Entry'!C$12,'Data Entry'!H$11)</f>
        <v>0.019067714417940217</v>
      </c>
      <c r="S24">
        <f>so(P24,F$1,'Data Entry'!C$17,'Data Entry'!C$10,'Data Entry'!H$6,'Data Entry'!H$7,'Data Entry'!C$12,0,0)</f>
        <v>0.3386979227681033</v>
      </c>
      <c r="V24">
        <f>V20</f>
        <v>0.55</v>
      </c>
      <c r="W24">
        <v>0.99</v>
      </c>
    </row>
    <row r="25" spans="1:19" ht="14.25">
      <c r="A25" s="87"/>
      <c r="B25" s="87"/>
      <c r="C25" s="87"/>
      <c r="D25" s="87"/>
      <c r="E25" s="87"/>
      <c r="F25" s="87"/>
      <c r="G25" s="136"/>
      <c r="H25" s="87"/>
      <c r="I25" s="87"/>
      <c r="L25" s="76">
        <v>22</v>
      </c>
      <c r="M25" s="80">
        <f>elev(L25,F$1,'Data Entry'!C$17,'Data Entry'!C$10,'Data Entry'!H$6,'Data Entry'!H$7,'Data Entry'!C$12,'Data Entry'!C$13,'Data Entry'!C$14)</f>
        <v>0.8380000000000004</v>
      </c>
      <c r="N25" s="80">
        <f>so(M25,F$1,'Data Entry'!C$17,'Data Entry'!C$10,'Data Entry'!H$6,'Data Entry'!H$7,'Data Entry'!C$12,'Data Entry'!C$13,'Data Entry'!C$14)</f>
        <v>0.4211193555776306</v>
      </c>
      <c r="O25" s="80">
        <f>sw(M25,F$1,'Data Entry'!C$17,'Data Entry'!C$10,'Data Entry'!H$7,'Data Entry'!C$12,'Data Entry'!C$14)</f>
        <v>0.17054726924808</v>
      </c>
      <c r="P25" s="80">
        <f>elev(L25,F$1,'Data Entry'!C$17,'Data Entry'!C$10,'Data Entry'!H$6,'Data Entry'!H$7,'Data Entry'!C$12,0,0)</f>
        <v>0.8246666666666669</v>
      </c>
      <c r="Q25">
        <f>kro(P25,F$1,'Data Entry'!C$17,'Data Entry'!C$10,'Data Entry'!H$6,'Data Entry'!H$7,'Data Entry'!C$12,'Data Entry'!H$11)</f>
        <v>0.04834472387443675</v>
      </c>
      <c r="S25">
        <f>so(P25,F$1,'Data Entry'!C$17,'Data Entry'!C$10,'Data Entry'!H$6,'Data Entry'!H$7,'Data Entry'!C$12,0,0)</f>
        <v>0.42730427529931025</v>
      </c>
    </row>
    <row r="26" spans="1:19" ht="14.25">
      <c r="A26" s="87"/>
      <c r="B26" s="87"/>
      <c r="C26" s="87"/>
      <c r="D26" s="87"/>
      <c r="E26" s="87"/>
      <c r="F26" s="87"/>
      <c r="G26" s="136"/>
      <c r="H26" s="87"/>
      <c r="I26" s="87"/>
      <c r="L26" s="76">
        <v>23</v>
      </c>
      <c r="M26" s="80">
        <f>elev(L26,F$1,'Data Entry'!C$17,'Data Entry'!C$10,'Data Entry'!H$6,'Data Entry'!H$7,'Data Entry'!C$12,'Data Entry'!C$13,'Data Entry'!C$14)</f>
        <v>0.8020000000000003</v>
      </c>
      <c r="N26" s="80">
        <f>so(M26,F$1,'Data Entry'!C$17,'Data Entry'!C$10,'Data Entry'!H$6,'Data Entry'!H$7,'Data Entry'!C$12,'Data Entry'!C$13,'Data Entry'!C$14)</f>
        <v>0.516547484293769</v>
      </c>
      <c r="O26" s="80">
        <f>sw(M26,F$1,'Data Entry'!C$17,'Data Entry'!C$10,'Data Entry'!H$7,'Data Entry'!C$12,'Data Entry'!C$14)</f>
        <v>0.171456892866193</v>
      </c>
      <c r="P26" s="80">
        <f>elev(L26,F$1,'Data Entry'!C$17,'Data Entry'!C$10,'Data Entry'!H$6,'Data Entry'!H$7,'Data Entry'!C$12,0,0)</f>
        <v>0.7903333333333336</v>
      </c>
      <c r="Q26">
        <f>kro(P26,F$1,'Data Entry'!C$17,'Data Entry'!C$10,'Data Entry'!H$6,'Data Entry'!H$7,'Data Entry'!C$12,'Data Entry'!H$11)</f>
        <v>0.11239498603437464</v>
      </c>
      <c r="S26">
        <f>so(P26,F$1,'Data Entry'!C$17,'Data Entry'!C$10,'Data Entry'!H$6,'Data Entry'!H$7,'Data Entry'!C$12,0,0)</f>
        <v>0.5270569611619359</v>
      </c>
    </row>
    <row r="27" spans="1:19" ht="14.25">
      <c r="A27" s="87"/>
      <c r="B27" s="87"/>
      <c r="C27" s="87"/>
      <c r="D27" s="87"/>
      <c r="E27" s="87"/>
      <c r="F27" s="87"/>
      <c r="G27" s="136"/>
      <c r="H27" s="87"/>
      <c r="I27" s="87"/>
      <c r="L27" s="76">
        <v>24</v>
      </c>
      <c r="M27" s="80">
        <f>elev(L27,F$1,'Data Entry'!C$17,'Data Entry'!C$10,'Data Entry'!H$6,'Data Entry'!H$7,'Data Entry'!C$12,'Data Entry'!C$13,'Data Entry'!C$14)</f>
        <v>0.7660000000000002</v>
      </c>
      <c r="N27" s="80">
        <f>so(M27,F$1,'Data Entry'!C$17,'Data Entry'!C$10,'Data Entry'!H$6,'Data Entry'!H$7,'Data Entry'!C$12,'Data Entry'!C$13,'Data Entry'!C$14)</f>
        <v>0.6167537655471939</v>
      </c>
      <c r="O27" s="80">
        <f>sw(M27,F$1,'Data Entry'!C$17,'Data Entry'!C$10,'Data Entry'!H$7,'Data Entry'!C$12,'Data Entry'!C$14)</f>
        <v>0.1724205908555129</v>
      </c>
      <c r="P27" s="80">
        <f>elev(L27,F$1,'Data Entry'!C$17,'Data Entry'!C$10,'Data Entry'!H$6,'Data Entry'!H$7,'Data Entry'!C$12,0,0)</f>
        <v>0.7560000000000003</v>
      </c>
      <c r="Q27">
        <f>kro(P27,F$1,'Data Entry'!C$17,'Data Entry'!C$10,'Data Entry'!H$6,'Data Entry'!H$7,'Data Entry'!C$12,'Data Entry'!H$11)</f>
        <v>0.226582798481224</v>
      </c>
      <c r="S27">
        <f>so(P27,F$1,'Data Entry'!C$17,'Data Entry'!C$10,'Data Entry'!H$6,'Data Entry'!H$7,'Data Entry'!C$12,0,0)</f>
        <v>0.6270462629256798</v>
      </c>
    </row>
    <row r="28" spans="1:19" ht="14.25">
      <c r="A28" s="87"/>
      <c r="B28" s="87"/>
      <c r="C28" s="87"/>
      <c r="D28" s="87"/>
      <c r="E28" s="87"/>
      <c r="F28" s="87"/>
      <c r="G28" s="136"/>
      <c r="H28" s="87"/>
      <c r="I28" s="87"/>
      <c r="L28" s="76">
        <v>25</v>
      </c>
      <c r="M28" s="80">
        <f>elev(L28,F$1,'Data Entry'!C$17,'Data Entry'!C$10,'Data Entry'!H$6,'Data Entry'!H$7,'Data Entry'!C$12,'Data Entry'!C$13,'Data Entry'!C$14)</f>
        <v>0.7300000000000002</v>
      </c>
      <c r="N28" s="80">
        <f>so(M28,F$1,'Data Entry'!C$17,'Data Entry'!C$10,'Data Entry'!H$6,'Data Entry'!H$7,'Data Entry'!C$12,'Data Entry'!C$13,'Data Entry'!C$14)</f>
        <v>0.7061905672263205</v>
      </c>
      <c r="O28" s="80">
        <f>sw(M28,F$1,'Data Entry'!C$17,'Data Entry'!C$10,'Data Entry'!H$7,'Data Entry'!C$12,'Data Entry'!C$14)</f>
        <v>0.17344239510581216</v>
      </c>
      <c r="P28" s="80">
        <f>elev(L28,F$1,'Data Entry'!C$17,'Data Entry'!C$10,'Data Entry'!H$6,'Data Entry'!H$7,'Data Entry'!C$12,0,0)</f>
        <v>0.7216666666666669</v>
      </c>
      <c r="Q28">
        <f>kro(P28,F$1,'Data Entry'!C$17,'Data Entry'!C$10,'Data Entry'!H$6,'Data Entry'!H$7,'Data Entry'!C$12,'Data Entry'!H$11)</f>
        <v>0.3794638710960537</v>
      </c>
      <c r="S28">
        <f>so(P28,F$1,'Data Entry'!C$17,'Data Entry'!C$10,'Data Entry'!H$6,'Data Entry'!H$7,'Data Entry'!C$12,0,0)</f>
        <v>0.7121814275476329</v>
      </c>
    </row>
    <row r="29" spans="12:19" ht="14.25">
      <c r="L29" s="76">
        <v>26</v>
      </c>
      <c r="M29" s="80">
        <f>elev(L29,F$1,'Data Entry'!C$17,'Data Entry'!C$10,'Data Entry'!H$6,'Data Entry'!H$7,'Data Entry'!C$12,'Data Entry'!C$13,'Data Entry'!C$14)</f>
        <v>0.6940000000000001</v>
      </c>
      <c r="N29" s="80">
        <f>so(M29,F$1,'Data Entry'!C$17,'Data Entry'!C$10,'Data Entry'!H$6,'Data Entry'!H$7,'Data Entry'!C$12,'Data Entry'!C$13,'Data Entry'!C$14)</f>
        <v>0.7705506238044574</v>
      </c>
      <c r="O29" s="80">
        <f>sw(M29,F$1,'Data Entry'!C$17,'Data Entry'!C$10,'Data Entry'!H$7,'Data Entry'!C$12,'Data Entry'!C$14)</f>
        <v>0.1745266976415282</v>
      </c>
      <c r="P29" s="80">
        <f>elev(L29,F$1,'Data Entry'!C$17,'Data Entry'!C$10,'Data Entry'!H$6,'Data Entry'!H$7,'Data Entry'!C$12,0,0)</f>
        <v>0.6873333333333336</v>
      </c>
      <c r="Q29">
        <f>kro(P29,F$1,'Data Entry'!C$17,'Data Entry'!C$10,'Data Entry'!H$6,'Data Entry'!H$7,'Data Entry'!C$12,'Data Entry'!H$11)</f>
        <v>0.5241613448587996</v>
      </c>
      <c r="S29">
        <f>so(P29,F$1,'Data Entry'!C$17,'Data Entry'!C$10,'Data Entry'!H$6,'Data Entry'!H$7,'Data Entry'!C$12,0,0)</f>
        <v>0.7710162618189946</v>
      </c>
    </row>
    <row r="30" spans="12:19" ht="14.25">
      <c r="L30" s="76">
        <v>27</v>
      </c>
      <c r="M30" s="80">
        <f>elev(L30,F$1,'Data Entry'!C$17,'Data Entry'!C$10,'Data Entry'!H$6,'Data Entry'!H$7,'Data Entry'!C$12,'Data Entry'!C$13,'Data Entry'!C$14)</f>
        <v>0.6580000000000001</v>
      </c>
      <c r="N30" s="80">
        <f>so(M30,F$1,'Data Entry'!C$17,'Data Entry'!C$10,'Data Entry'!H$6,'Data Entry'!H$7,'Data Entry'!C$12,'Data Entry'!C$13,'Data Entry'!C$14)</f>
        <v>0.8059427468814142</v>
      </c>
      <c r="O30" s="80">
        <f>sw(M30,F$1,'Data Entry'!C$17,'Data Entry'!C$10,'Data Entry'!H$7,'Data Entry'!C$12,'Data Entry'!C$14)</f>
        <v>0.17567828781423783</v>
      </c>
      <c r="P30" s="80">
        <f>elev(L30,F$1,'Data Entry'!C$17,'Data Entry'!C$10,'Data Entry'!H$6,'Data Entry'!H$7,'Data Entry'!C$12,0,0)</f>
        <v>0.6530000000000001</v>
      </c>
      <c r="Q30">
        <f>kro(P30,F$1,'Data Entry'!C$17,'Data Entry'!C$10,'Data Entry'!H$6,'Data Entry'!H$7,'Data Entry'!C$12,'Data Entry'!H$11)</f>
        <v>0.6175990047897653</v>
      </c>
      <c r="S30">
        <f>so(P30,F$1,'Data Entry'!C$17,'Data Entry'!C$10,'Data Entry'!H$6,'Data Entry'!H$7,'Data Entry'!C$12,0,0)</f>
        <v>0.8023883506868812</v>
      </c>
    </row>
    <row r="31" spans="12:19" ht="14.25">
      <c r="L31" s="76">
        <v>28</v>
      </c>
      <c r="M31" s="80">
        <f>elev(L31,F$1,'Data Entry'!C$17,'Data Entry'!C$10,'Data Entry'!H$6,'Data Entry'!H$7,'Data Entry'!C$12,'Data Entry'!C$13,'Data Entry'!C$14)</f>
        <v>0.6220000000000001</v>
      </c>
      <c r="N31" s="80">
        <f>so(M31,F$1,'Data Entry'!C$17,'Data Entry'!C$10,'Data Entry'!H$6,'Data Entry'!H$7,'Data Entry'!C$12,'Data Entry'!C$13,'Data Entry'!C$14)</f>
        <v>0.8193875189341604</v>
      </c>
      <c r="O31" s="80">
        <f>sw(M31,F$1,'Data Entry'!C$17,'Data Entry'!C$10,'Data Entry'!H$7,'Data Entry'!C$12,'Data Entry'!C$14)</f>
        <v>0.17690239379753214</v>
      </c>
      <c r="P31" s="80">
        <f>elev(L31,F$1,'Data Entry'!C$17,'Data Entry'!C$10,'Data Entry'!H$6,'Data Entry'!H$7,'Data Entry'!C$12,0,0)</f>
        <v>0.6186666666666668</v>
      </c>
      <c r="Q31">
        <f>kro(P31,F$1,'Data Entry'!C$17,'Data Entry'!C$10,'Data Entry'!H$6,'Data Entry'!H$7,'Data Entry'!C$12,'Data Entry'!H$11)</f>
        <v>0.6564307903517498</v>
      </c>
      <c r="S31">
        <f>so(P31,F$1,'Data Entry'!C$17,'Data Entry'!C$10,'Data Entry'!H$6,'Data Entry'!H$7,'Data Entry'!C$12,0,0)</f>
        <v>0.8139263125997727</v>
      </c>
    </row>
    <row r="32" spans="12:19" ht="14.25">
      <c r="L32" s="76">
        <v>29</v>
      </c>
      <c r="M32" s="80">
        <f>elev(L32,F$1,'Data Entry'!C$17,'Data Entry'!C$10,'Data Entry'!H$6,'Data Entry'!H$7,'Data Entry'!C$12,'Data Entry'!C$13,'Data Entry'!C$14)</f>
        <v>0.5860000000000001</v>
      </c>
      <c r="N32" s="80">
        <f>so(M32,F$1,'Data Entry'!C$17,'Data Entry'!C$10,'Data Entry'!H$6,'Data Entry'!H$7,'Data Entry'!C$12,'Data Entry'!C$13,'Data Entry'!C$14)</f>
        <v>0.8215622087653338</v>
      </c>
      <c r="O32" s="80">
        <f>sw(M32,F$1,'Data Entry'!C$17,'Data Entry'!C$10,'Data Entry'!H$7,'Data Entry'!C$12,'Data Entry'!C$14)</f>
        <v>0.1782047289230061</v>
      </c>
      <c r="P32" s="80">
        <f>elev(L32,F$1,'Data Entry'!C$17,'Data Entry'!C$10,'Data Entry'!H$6,'Data Entry'!H$7,'Data Entry'!C$12,0,0)</f>
        <v>0.5843333333333335</v>
      </c>
      <c r="Q32">
        <f>kro(P32,F$1,'Data Entry'!C$17,'Data Entry'!C$10,'Data Entry'!H$6,'Data Entry'!H$7,'Data Entry'!C$12,'Data Entry'!H$11)</f>
        <v>0.6638819922449946</v>
      </c>
      <c r="S32">
        <f>so(P32,F$1,'Data Entry'!C$17,'Data Entry'!C$10,'Data Entry'!H$6,'Data Entry'!H$7,'Data Entry'!C$12,0,0)</f>
        <v>0.8154708930150726</v>
      </c>
    </row>
    <row r="33" spans="12:19" ht="14.25">
      <c r="L33" s="76">
        <v>30</v>
      </c>
      <c r="M33" s="80">
        <f>elev(L33,F$1,'Data Entry'!C$17,'Data Entry'!C$10,'Data Entry'!H$6,'Data Entry'!H$7,'Data Entry'!C$12,'Data Entry'!C$13,'Data Entry'!C$14)</f>
        <v>0.55</v>
      </c>
      <c r="N33" s="80">
        <f>so(M33,F$1,'Data Entry'!C$17,'Data Entry'!C$10,'Data Entry'!H$6,'Data Entry'!H$7,'Data Entry'!C$12,'Data Entry'!C$13,'Data Entry'!C$14)</f>
        <v>0.820408456534342</v>
      </c>
      <c r="O33" s="80">
        <f>sw(M33,F$1,'Data Entry'!C$17,'Data Entry'!C$10,'Data Entry'!H$7,'Data Entry'!C$12,'Data Entry'!C$14)</f>
        <v>0.17959154346565795</v>
      </c>
      <c r="P33" s="80">
        <f>elev(L33,F$1,'Data Entry'!C$17,'Data Entry'!C$10,'Data Entry'!H$6,'Data Entry'!H$7,'Data Entry'!C$12,0,0)</f>
        <v>0.55</v>
      </c>
      <c r="Q33">
        <f>kro(P33,F$1,'Data Entry'!C$17,'Data Entry'!C$10,'Data Entry'!H$6,'Data Entry'!H$7,'Data Entry'!C$12,'Data Entry'!H$11)</f>
        <v>0.6618570136727833</v>
      </c>
      <c r="S33">
        <f>so(P33,F$1,'Data Entry'!C$17,'Data Entry'!C$10,'Data Entry'!H$6,'Data Entry'!H$7,'Data Entry'!C$12,0,0)</f>
        <v>0.8140674115059867</v>
      </c>
    </row>
    <row r="34" spans="12:19" ht="14.25">
      <c r="L34" s="76">
        <v>31</v>
      </c>
      <c r="M34" s="80">
        <f>elev(L34,F$1,'Data Entry'!C$17,'Data Entry'!C$10,'Data Entry'!H$6,'Data Entry'!H$7,'Data Entry'!C$12,'Data Entry'!C$13,'Data Entry'!C$14)</f>
        <v>0.44000000000000006</v>
      </c>
      <c r="N34" s="80">
        <f>so(M34,F$1,'Data Entry'!C$17,'Data Entry'!C$10,'Data Entry'!H$6,'Data Entry'!H$7,'Data Entry'!C$12,'Data Entry'!C$13,'Data Entry'!C$14)</f>
        <v>0.8155724394103279</v>
      </c>
      <c r="O34" s="80">
        <f>sw(M34,F$1,'Data Entry'!C$17,'Data Entry'!C$10,'Data Entry'!H$7,'Data Entry'!C$12,'Data Entry'!C$14)</f>
        <v>0.1844275605896722</v>
      </c>
      <c r="P34" s="80">
        <f>elev(L34,F$1,'Data Entry'!C$17,'Data Entry'!C$10,'Data Entry'!H$6,'Data Entry'!H$7,'Data Entry'!C$12,0,0)</f>
        <v>0.44000000000000006</v>
      </c>
      <c r="Q34">
        <f>kro(P34,F$1,'Data Entry'!C$17,'Data Entry'!C$10,'Data Entry'!H$6,'Data Entry'!H$7,'Data Entry'!C$12,'Data Entry'!H$11)</f>
        <v>0.6520288324534561</v>
      </c>
      <c r="S34">
        <f>so(P34,F$1,'Data Entry'!C$17,'Data Entry'!C$10,'Data Entry'!H$6,'Data Entry'!H$7,'Data Entry'!C$12,0,0)</f>
        <v>0.8081951049982552</v>
      </c>
    </row>
    <row r="35" spans="12:19" ht="14.25">
      <c r="L35" s="76">
        <v>32</v>
      </c>
      <c r="M35" s="80">
        <f>elev(L35,F$1,'Data Entry'!C$17,'Data Entry'!C$10,'Data Entry'!H$6,'Data Entry'!H$7,'Data Entry'!C$12,'Data Entry'!C$13,'Data Entry'!C$14)</f>
        <v>0.33</v>
      </c>
      <c r="N35" s="80">
        <f>so(M35,F$1,'Data Entry'!C$17,'Data Entry'!C$10,'Data Entry'!H$6,'Data Entry'!H$7,'Data Entry'!C$12,'Data Entry'!C$13,'Data Entry'!C$14)</f>
        <v>0.809641451372824</v>
      </c>
      <c r="O35" s="80">
        <f>sw(M35,F$1,'Data Entry'!C$17,'Data Entry'!C$10,'Data Entry'!H$7,'Data Entry'!C$12,'Data Entry'!C$14)</f>
        <v>0.19035854862717602</v>
      </c>
      <c r="P35" s="80">
        <f>elev(L35,F$1,'Data Entry'!C$17,'Data Entry'!C$10,'Data Entry'!H$6,'Data Entry'!H$7,'Data Entry'!C$12,0,0)</f>
        <v>0.33</v>
      </c>
      <c r="Q35">
        <f>kro(P35,F$1,'Data Entry'!C$17,'Data Entry'!C$10,'Data Entry'!H$6,'Data Entry'!H$7,'Data Entry'!C$12,'Data Entry'!H$11)</f>
        <v>0.6400108887163407</v>
      </c>
      <c r="S35">
        <f>so(P35,F$1,'Data Entry'!C$17,'Data Entry'!C$10,'Data Entry'!H$6,'Data Entry'!H$7,'Data Entry'!C$12,0,0)</f>
        <v>0.8009931909527148</v>
      </c>
    </row>
    <row r="36" spans="12:19" ht="14.25">
      <c r="L36" s="76">
        <v>33</v>
      </c>
      <c r="M36" s="80">
        <f>elev(L36,F$1,'Data Entry'!C$17,'Data Entry'!C$10,'Data Entry'!H$6,'Data Entry'!H$7,'Data Entry'!C$12,'Data Entry'!C$13,'Data Entry'!C$14)</f>
        <v>0.22000000000000003</v>
      </c>
      <c r="N36" s="80">
        <f>so(M36,F$1,'Data Entry'!C$17,'Data Entry'!C$10,'Data Entry'!H$6,'Data Entry'!H$7,'Data Entry'!C$12,'Data Entry'!C$13,'Data Entry'!C$14)</f>
        <v>0.8022967505433873</v>
      </c>
      <c r="O36" s="80">
        <f>sw(M36,F$1,'Data Entry'!C$17,'Data Entry'!C$10,'Data Entry'!H$7,'Data Entry'!C$12,'Data Entry'!C$14)</f>
        <v>0.19770324945661263</v>
      </c>
      <c r="P36" s="80">
        <f>elev(L36,F$1,'Data Entry'!C$17,'Data Entry'!C$10,'Data Entry'!H$6,'Data Entry'!H$7,'Data Entry'!C$12,0,0)</f>
        <v>0.22000000000000003</v>
      </c>
      <c r="Q36">
        <f>kro(P36,F$1,'Data Entry'!C$17,'Data Entry'!C$10,'Data Entry'!H$6,'Data Entry'!H$7,'Data Entry'!C$12,'Data Entry'!H$11)</f>
        <v>0.6251864562646163</v>
      </c>
      <c r="S36">
        <f>so(P36,F$1,'Data Entry'!C$17,'Data Entry'!C$10,'Data Entry'!H$6,'Data Entry'!H$7,'Data Entry'!C$12,0,0)</f>
        <v>0.7920746256598274</v>
      </c>
    </row>
    <row r="37" spans="12:19" ht="14.25">
      <c r="L37" s="76">
        <v>34</v>
      </c>
      <c r="M37" s="80">
        <f>elev(L37,F$1,'Data Entry'!C$17,'Data Entry'!C$10,'Data Entry'!H$6,'Data Entry'!H$7,'Data Entry'!C$12,'Data Entry'!C$13,'Data Entry'!C$14)</f>
        <v>0.10999999999999999</v>
      </c>
      <c r="N37" s="80">
        <f>so(M37,F$1,'Data Entry'!C$17,'Data Entry'!C$10,'Data Entry'!H$6,'Data Entry'!H$7,'Data Entry'!C$12,'Data Entry'!C$13,'Data Entry'!C$14)</f>
        <v>0.7931073598460061</v>
      </c>
      <c r="O37" s="80">
        <f>sw(M37,F$1,'Data Entry'!C$17,'Data Entry'!C$10,'Data Entry'!H$7,'Data Entry'!C$12,'Data Entry'!C$14)</f>
        <v>0.20689264015399392</v>
      </c>
      <c r="P37" s="80">
        <f>elev(L37,F$1,'Data Entry'!C$17,'Data Entry'!C$10,'Data Entry'!H$6,'Data Entry'!H$7,'Data Entry'!C$12,0,0)</f>
        <v>0.10999999999999999</v>
      </c>
      <c r="Q37">
        <f>kro(P37,F$1,'Data Entry'!C$17,'Data Entry'!C$10,'Data Entry'!H$6,'Data Entry'!H$7,'Data Entry'!C$12,'Data Entry'!H$11)</f>
        <v>0.6067372514492669</v>
      </c>
      <c r="S37">
        <f>so(P37,F$1,'Data Entry'!C$17,'Data Entry'!C$10,'Data Entry'!H$6,'Data Entry'!H$7,'Data Entry'!C$12,0,0)</f>
        <v>0.7809160798130074</v>
      </c>
    </row>
    <row r="38" spans="12:19" ht="14.25">
      <c r="L38" s="76">
        <v>35</v>
      </c>
      <c r="M38" s="80">
        <f>elev(L38,F$1,'Data Entry'!C$17,'Data Entry'!C$10,'Data Entry'!H$6,'Data Entry'!H$7,'Data Entry'!C$12,'Data Entry'!C$13,'Data Entry'!C$14)</f>
        <v>0</v>
      </c>
      <c r="N38" s="80">
        <f>so(M38,F$1,'Data Entry'!C$17,'Data Entry'!C$10,'Data Entry'!H$6,'Data Entry'!H$7,'Data Entry'!C$12,'Data Entry'!C$13,'Data Entry'!C$14)</f>
        <v>0.7814855573368685</v>
      </c>
      <c r="O38" s="80">
        <f>sw(M38,F$1,'Data Entry'!C$17,'Data Entry'!C$10,'Data Entry'!H$7,'Data Entry'!C$12,'Data Entry'!C$14)</f>
        <v>0.21851444266313147</v>
      </c>
      <c r="P38" s="80">
        <f>elev(L38,F$1,'Data Entry'!C$17,'Data Entry'!C$10,'Data Entry'!H$6,'Data Entry'!H$7,'Data Entry'!C$12,0,0)</f>
        <v>0</v>
      </c>
      <c r="Q38">
        <f>kro(P38,F$1,'Data Entry'!C$17,'Data Entry'!C$10,'Data Entry'!H$6,'Data Entry'!H$7,'Data Entry'!C$12,'Data Entry'!H$11)</f>
        <v>0.5835781216938917</v>
      </c>
      <c r="S38">
        <f>so(P38,F$1,'Data Entry'!C$17,'Data Entry'!C$10,'Data Entry'!H$6,'Data Entry'!H$7,'Data Entry'!C$12,0,0)</f>
        <v>0.7668038910519117</v>
      </c>
    </row>
    <row r="39" spans="12:19" ht="14.25">
      <c r="L39" s="76">
        <v>36</v>
      </c>
      <c r="M39" s="80">
        <f>elev(L39,F$1,'Data Entry'!C$17,'Data Entry'!C$10,'Data Entry'!H$6,'Data Entry'!H$7,'Data Entry'!C$12,'Data Entry'!C$13,'Data Entry'!C$14)</f>
        <v>-0.10999999999999999</v>
      </c>
      <c r="N39" s="80">
        <f>so(M39,F$1,'Data Entry'!C$17,'Data Entry'!C$10,'Data Entry'!H$6,'Data Entry'!H$7,'Data Entry'!C$12,'Data Entry'!C$13,'Data Entry'!C$14)</f>
        <v>0.7666250522994712</v>
      </c>
      <c r="O39" s="80">
        <f>sw(M39,F$1,'Data Entry'!C$17,'Data Entry'!C$10,'Data Entry'!H$7,'Data Entry'!C$12,'Data Entry'!C$14)</f>
        <v>0.2333749477005288</v>
      </c>
      <c r="P39" s="80">
        <f>elev(L39,F$1,'Data Entry'!C$17,'Data Entry'!C$10,'Data Entry'!H$6,'Data Entry'!H$7,'Data Entry'!C$12,0,0)</f>
        <v>-0.10999999999999999</v>
      </c>
      <c r="Q39">
        <f>kro(P39,F$1,'Data Entry'!C$17,'Data Entry'!C$10,'Data Entry'!H$6,'Data Entry'!H$7,'Data Entry'!C$12,'Data Entry'!H$11)</f>
        <v>0.5542830996528996</v>
      </c>
      <c r="S39">
        <f>so(P39,F$1,'Data Entry'!C$17,'Data Entry'!C$10,'Data Entry'!H$6,'Data Entry'!H$7,'Data Entry'!C$12,0,0)</f>
        <v>0.7487589920779294</v>
      </c>
    </row>
    <row r="40" spans="12:19" ht="14.25">
      <c r="L40" s="76">
        <v>37</v>
      </c>
      <c r="M40" s="80">
        <f>elev(L40,F$1,'Data Entry'!C$17,'Data Entry'!C$10,'Data Entry'!H$6,'Data Entry'!H$7,'Data Entry'!C$12,'Data Entry'!C$13,'Data Entry'!C$14)</f>
        <v>-0.22000000000000008</v>
      </c>
      <c r="N40" s="80">
        <f>so(M40,F$1,'Data Entry'!C$17,'Data Entry'!C$10,'Data Entry'!H$6,'Data Entry'!H$7,'Data Entry'!C$12,'Data Entry'!C$13,'Data Entry'!C$14)</f>
        <v>0.7474185176155933</v>
      </c>
      <c r="O40" s="80">
        <f>sw(M40,F$1,'Data Entry'!C$17,'Data Entry'!C$10,'Data Entry'!H$7,'Data Entry'!C$12,'Data Entry'!C$14)</f>
        <v>0.2525814823844067</v>
      </c>
      <c r="P40" s="80">
        <f>elev(L40,F$1,'Data Entry'!C$17,'Data Entry'!C$10,'Data Entry'!H$6,'Data Entry'!H$7,'Data Entry'!C$12,0,0)</f>
        <v>-0.22000000000000008</v>
      </c>
      <c r="Q40">
        <f>kro(P40,F$1,'Data Entry'!C$17,'Data Entry'!C$10,'Data Entry'!H$6,'Data Entry'!H$7,'Data Entry'!C$12,'Data Entry'!H$11)</f>
        <v>0.5170261976674287</v>
      </c>
      <c r="S40">
        <f>so(P40,F$1,'Data Entry'!C$17,'Data Entry'!C$10,'Data Entry'!H$6,'Data Entry'!H$7,'Data Entry'!C$12,0,0)</f>
        <v>0.7254367713903633</v>
      </c>
    </row>
    <row r="41" spans="12:19" ht="14.25">
      <c r="L41" s="76">
        <v>38</v>
      </c>
      <c r="M41" s="80">
        <f>elev(L41,F$1,'Data Entry'!C$17,'Data Entry'!C$10,'Data Entry'!H$6,'Data Entry'!H$7,'Data Entry'!C$12,'Data Entry'!C$13,'Data Entry'!C$14)</f>
        <v>-0.33000000000000007</v>
      </c>
      <c r="N41" s="80">
        <f>so(M41,F$1,'Data Entry'!C$17,'Data Entry'!C$10,'Data Entry'!H$6,'Data Entry'!H$7,'Data Entry'!C$12,'Data Entry'!C$13,'Data Entry'!C$14)</f>
        <v>0.7223577245586961</v>
      </c>
      <c r="O41" s="80">
        <f>sw(M41,F$1,'Data Entry'!C$17,'Data Entry'!C$10,'Data Entry'!H$7,'Data Entry'!C$12,'Data Entry'!C$14)</f>
        <v>0.277642275441304</v>
      </c>
      <c r="P41" s="80">
        <f>elev(L41,F$1,'Data Entry'!C$17,'Data Entry'!C$10,'Data Entry'!H$6,'Data Entry'!H$7,'Data Entry'!C$12,0,0)</f>
        <v>-0.33000000000000007</v>
      </c>
      <c r="Q41">
        <f>kro(P41,F$1,'Data Entry'!C$17,'Data Entry'!C$10,'Data Entry'!H$6,'Data Entry'!H$7,'Data Entry'!C$12,'Data Entry'!H$11)</f>
        <v>0.46960740839571696</v>
      </c>
      <c r="S41">
        <f>so(P41,F$1,'Data Entry'!C$17,'Data Entry'!C$10,'Data Entry'!H$6,'Data Entry'!H$7,'Data Entry'!C$12,0,0)</f>
        <v>0.6950058083927023</v>
      </c>
    </row>
    <row r="42" spans="12:19" ht="14.25">
      <c r="L42" s="76">
        <v>39</v>
      </c>
      <c r="M42" s="80">
        <f>elev(L42,F$1,'Data Entry'!C$17,'Data Entry'!C$10,'Data Entry'!H$6,'Data Entry'!H$7,'Data Entry'!C$12,'Data Entry'!C$13,'Data Entry'!C$14)</f>
        <v>-0.43999999999999995</v>
      </c>
      <c r="N42" s="80">
        <f>so(M42,F$1,'Data Entry'!C$17,'Data Entry'!C$10,'Data Entry'!H$6,'Data Entry'!H$7,'Data Entry'!C$12,'Data Entry'!C$13,'Data Entry'!C$14)</f>
        <v>0.6894417373955697</v>
      </c>
      <c r="O42" s="80">
        <f>sw(M42,F$1,'Data Entry'!C$17,'Data Entry'!C$10,'Data Entry'!H$7,'Data Entry'!C$12,'Data Entry'!C$14)</f>
        <v>0.3105582626044303</v>
      </c>
      <c r="P42" s="80">
        <f>elev(L42,F$1,'Data Entry'!C$17,'Data Entry'!C$10,'Data Entry'!H$6,'Data Entry'!H$7,'Data Entry'!C$12,0,0)</f>
        <v>-0.43999999999999995</v>
      </c>
      <c r="Q42">
        <f>kro(P42,F$1,'Data Entry'!C$17,'Data Entry'!C$10,'Data Entry'!H$6,'Data Entry'!H$7,'Data Entry'!C$12,'Data Entry'!H$11)</f>
        <v>0.4097414791108972</v>
      </c>
      <c r="S42">
        <f>so(P42,F$1,'Data Entry'!C$17,'Data Entry'!C$10,'Data Entry'!H$6,'Data Entry'!H$7,'Data Entry'!C$12,0,0)</f>
        <v>0.655036395408906</v>
      </c>
    </row>
    <row r="43" spans="12:19" ht="14.25">
      <c r="L43" s="76">
        <v>40</v>
      </c>
      <c r="M43" s="80">
        <f>elev(L43,F$1,'Data Entry'!C$17,'Data Entry'!C$10,'Data Entry'!H$6,'Data Entry'!H$7,'Data Entry'!C$12,'Data Entry'!C$13,'Data Entry'!C$14)</f>
        <v>-0.55</v>
      </c>
      <c r="N43" s="80">
        <f>so(M43,F$1,'Data Entry'!C$17,'Data Entry'!C$10,'Data Entry'!H$6,'Data Entry'!H$7,'Data Entry'!C$12,'Data Entry'!C$13,'Data Entry'!C$14)</f>
        <v>0.6461789096320125</v>
      </c>
      <c r="O43" s="80">
        <f>sw(M43,F$1,'Data Entry'!C$17,'Data Entry'!C$10,'Data Entry'!H$7,'Data Entry'!C$12,'Data Entry'!C$14)</f>
        <v>0.3538210903679875</v>
      </c>
      <c r="P43" s="80">
        <f>elev(L43,F$1,'Data Entry'!C$17,'Data Entry'!C$10,'Data Entry'!H$6,'Data Entry'!H$7,'Data Entry'!C$12,0,0)</f>
        <v>-0.55</v>
      </c>
      <c r="Q43">
        <f>kro(P43,F$1,'Data Entry'!C$17,'Data Entry'!C$10,'Data Entry'!H$6,'Data Entry'!H$7,'Data Entry'!C$12,'Data Entry'!H$11)</f>
        <v>0.33598324667590634</v>
      </c>
      <c r="S43">
        <f>so(P43,F$1,'Data Entry'!C$17,'Data Entry'!C$10,'Data Entry'!H$6,'Data Entry'!H$7,'Data Entry'!C$12,0,0)</f>
        <v>0.6025029616960152</v>
      </c>
    </row>
    <row r="44" spans="12:19" ht="14.25">
      <c r="L44" s="76">
        <v>41</v>
      </c>
      <c r="M44" s="80">
        <f>elev(L44,F$1,'Data Entry'!C$17,'Data Entry'!C$10,'Data Entry'!H$6,'Data Entry'!H$7,'Data Entry'!C$12,'Data Entry'!C$13,'Data Entry'!C$14)</f>
        <v>-0.6600000000000001</v>
      </c>
      <c r="N44" s="80">
        <f>so(M44,F$1,'Data Entry'!C$17,'Data Entry'!C$10,'Data Entry'!H$6,'Data Entry'!H$7,'Data Entry'!C$12,'Data Entry'!C$13,'Data Entry'!C$14)</f>
        <v>0.5899034495279708</v>
      </c>
      <c r="O44" s="80">
        <f>sw(M44,F$1,'Data Entry'!C$17,'Data Entry'!C$10,'Data Entry'!H$7,'Data Entry'!C$12,'Data Entry'!C$14)</f>
        <v>0.4100965504720292</v>
      </c>
      <c r="P44" s="80">
        <f>elev(L44,F$1,'Data Entry'!C$17,'Data Entry'!C$10,'Data Entry'!H$6,'Data Entry'!H$7,'Data Entry'!C$12,0,0)</f>
        <v>-0.6600000000000001</v>
      </c>
      <c r="Q44">
        <f>kro(P44,F$1,'Data Entry'!C$17,'Data Entry'!C$10,'Data Entry'!H$6,'Data Entry'!H$7,'Data Entry'!C$12,'Data Entry'!H$11)</f>
        <v>0.24984230527606568</v>
      </c>
      <c r="S44">
        <f>so(P44,F$1,'Data Entry'!C$17,'Data Entry'!C$10,'Data Entry'!H$6,'Data Entry'!H$7,'Data Entry'!C$12,0,0)</f>
        <v>0.5341684744268217</v>
      </c>
    </row>
    <row r="45" spans="12:19" ht="14.25">
      <c r="L45" s="76">
        <v>42</v>
      </c>
      <c r="M45" s="80">
        <f>elev(L45,F$1,'Data Entry'!C$17,'Data Entry'!C$10,'Data Entry'!H$6,'Data Entry'!H$7,'Data Entry'!C$12,'Data Entry'!C$13,'Data Entry'!C$14)</f>
        <v>-0.77</v>
      </c>
      <c r="N45" s="80">
        <f>so(M45,F$1,'Data Entry'!C$17,'Data Entry'!C$10,'Data Entry'!H$6,'Data Entry'!H$7,'Data Entry'!C$12,'Data Entry'!C$13,'Data Entry'!C$14)</f>
        <v>0.518841491431486</v>
      </c>
      <c r="O45" s="80">
        <f>sw(M45,F$1,'Data Entry'!C$17,'Data Entry'!C$10,'Data Entry'!H$7,'Data Entry'!C$12,'Data Entry'!C$14)</f>
        <v>0.48115850856851405</v>
      </c>
      <c r="P45" s="80">
        <f>elev(L45,F$1,'Data Entry'!C$17,'Data Entry'!C$10,'Data Entry'!H$6,'Data Entry'!H$7,'Data Entry'!C$12,0,0)</f>
        <v>-0.77</v>
      </c>
      <c r="Q45">
        <f>kro(P45,F$1,'Data Entry'!C$17,'Data Entry'!C$10,'Data Entry'!H$6,'Data Entry'!H$7,'Data Entry'!C$12,'Data Entry'!H$11)</f>
        <v>0.1591034790350087</v>
      </c>
      <c r="S45">
        <f>so(P45,F$1,'Data Entry'!C$17,'Data Entry'!C$10,'Data Entry'!H$6,'Data Entry'!H$7,'Data Entry'!C$12,0,0)</f>
        <v>0.4478789538810901</v>
      </c>
    </row>
    <row r="46" spans="12:19" ht="14.25">
      <c r="L46" s="76">
        <v>43</v>
      </c>
      <c r="M46" s="80">
        <f>elev(L46,F$1,'Data Entry'!C$17,'Data Entry'!C$10,'Data Entry'!H$6,'Data Entry'!H$7,'Data Entry'!C$12,'Data Entry'!C$13,'Data Entry'!C$14)</f>
        <v>-0.8800000000000001</v>
      </c>
      <c r="N46" s="80">
        <f>so(M46,F$1,'Data Entry'!C$17,'Data Entry'!C$10,'Data Entry'!H$6,'Data Entry'!H$7,'Data Entry'!C$12,'Data Entry'!C$13,'Data Entry'!C$14)</f>
        <v>0.43440168675141366</v>
      </c>
      <c r="O46" s="80">
        <f>sw(M46,F$1,'Data Entry'!C$17,'Data Entry'!C$10,'Data Entry'!H$7,'Data Entry'!C$12,'Data Entry'!C$14)</f>
        <v>0.5655983132485863</v>
      </c>
      <c r="P46" s="80">
        <f>elev(L46,F$1,'Data Entry'!C$17,'Data Entry'!C$10,'Data Entry'!H$6,'Data Entry'!H$7,'Data Entry'!C$12,0,0)</f>
        <v>-0.8800000000000001</v>
      </c>
      <c r="Q46">
        <f>kro(P46,F$1,'Data Entry'!C$17,'Data Entry'!C$10,'Data Entry'!H$6,'Data Entry'!H$7,'Data Entry'!C$12,'Data Entry'!H$11)</f>
        <v>0.07946951291096534</v>
      </c>
      <c r="S46">
        <f>so(P46,F$1,'Data Entry'!C$17,'Data Entry'!C$10,'Data Entry'!H$6,'Data Entry'!H$7,'Data Entry'!C$12,0,0)</f>
        <v>0.34534490534100226</v>
      </c>
    </row>
    <row r="47" spans="12:19" ht="14.25">
      <c r="L47" s="76">
        <v>44</v>
      </c>
      <c r="M47" s="80">
        <f>elev(L47,F$1,'Data Entry'!C$17,'Data Entry'!C$10,'Data Entry'!H$6,'Data Entry'!H$7,'Data Entry'!C$12,'Data Entry'!C$13,'Data Entry'!C$14)</f>
        <v>-0.9900000000000002</v>
      </c>
      <c r="N47" s="80">
        <f>so(M47,F$1,'Data Entry'!C$17,'Data Entry'!C$10,'Data Entry'!H$6,'Data Entry'!H$7,'Data Entry'!C$12,'Data Entry'!C$13,'Data Entry'!C$14)</f>
        <v>0.3441194572961014</v>
      </c>
      <c r="O47" s="80">
        <f>sw(M47,F$1,'Data Entry'!C$17,'Data Entry'!C$10,'Data Entry'!H$7,'Data Entry'!C$12,'Data Entry'!C$14)</f>
        <v>0.6558805427038986</v>
      </c>
      <c r="P47" s="80">
        <f>elev(L47,F$1,'Data Entry'!C$17,'Data Entry'!C$10,'Data Entry'!H$6,'Data Entry'!H$7,'Data Entry'!C$12,0,0)</f>
        <v>-0.9900000000000002</v>
      </c>
      <c r="Q47">
        <f>kro(P47,F$1,'Data Entry'!C$17,'Data Entry'!C$10,'Data Entry'!H$6,'Data Entry'!H$7,'Data Entry'!C$12,'Data Entry'!H$11)</f>
        <v>0.02751916354812407</v>
      </c>
      <c r="S47">
        <f>so(P47,F$1,'Data Entry'!C$17,'Data Entry'!C$10,'Data Entry'!H$6,'Data Entry'!H$7,'Data Entry'!C$12,0,0)</f>
        <v>0.23571648385955168</v>
      </c>
    </row>
    <row r="48" spans="12:19" ht="14.25">
      <c r="L48" s="76">
        <v>45</v>
      </c>
      <c r="M48" s="80">
        <f>elev(L48,F$1,'Data Entry'!C$17,'Data Entry'!C$10,'Data Entry'!H$6,'Data Entry'!H$7,'Data Entry'!C$12,'Data Entry'!C$13,'Data Entry'!C$14)</f>
        <v>-1.0999999999999999</v>
      </c>
      <c r="N48" s="80">
        <f>so(M48,F$1,'Data Entry'!C$17,'Data Entry'!C$10,'Data Entry'!H$6,'Data Entry'!H$7,'Data Entry'!C$12,'Data Entry'!C$13,'Data Entry'!C$14)</f>
        <v>0.2618730605030617</v>
      </c>
      <c r="O48" s="80">
        <f>sw(M48,F$1,'Data Entry'!C$17,'Data Entry'!C$10,'Data Entry'!H$7,'Data Entry'!C$12,'Data Entry'!C$14)</f>
        <v>0.7381269394969383</v>
      </c>
      <c r="P48" s="80">
        <f>elev(L48,F$1,'Data Entry'!C$17,'Data Entry'!C$10,'Data Entry'!H$6,'Data Entry'!H$7,'Data Entry'!C$12,0,0)</f>
        <v>-1.0999999999999999</v>
      </c>
      <c r="Q48">
        <f>kro(P48,F$1,'Data Entry'!C$17,'Data Entry'!C$10,'Data Entry'!H$6,'Data Entry'!H$7,'Data Entry'!C$12,'Data Entry'!H$11)</f>
        <v>0.00566397518609383</v>
      </c>
      <c r="S48">
        <f>so(P48,F$1,'Data Entry'!C$17,'Data Entry'!C$10,'Data Entry'!H$6,'Data Entry'!H$7,'Data Entry'!C$12,0,0)</f>
        <v>0.13584585918228909</v>
      </c>
    </row>
    <row r="49" spans="12:19" ht="14.25">
      <c r="L49" s="76">
        <v>46</v>
      </c>
      <c r="M49" s="80">
        <f>elev(L49,F$1,'Data Entry'!C$17,'Data Entry'!C$10,'Data Entry'!H$6,'Data Entry'!H$7,'Data Entry'!C$12,'Data Entry'!C$13,'Data Entry'!C$14)</f>
        <v>-1.2100000000000002</v>
      </c>
      <c r="N49" s="80">
        <f>so(M49,F$1,'Data Entry'!C$17,'Data Entry'!C$10,'Data Entry'!H$6,'Data Entry'!H$7,'Data Entry'!C$12,'Data Entry'!C$13,'Data Entry'!C$14)</f>
        <v>0.2014061920189364</v>
      </c>
      <c r="O49" s="80">
        <f>sw(M49,F$1,'Data Entry'!C$17,'Data Entry'!C$10,'Data Entry'!H$7,'Data Entry'!C$12,'Data Entry'!C$14)</f>
        <v>0.7985938079810636</v>
      </c>
      <c r="P49" s="80">
        <f>elev(L49,F$1,'Data Entry'!C$17,'Data Entry'!C$10,'Data Entry'!H$6,'Data Entry'!H$7,'Data Entry'!C$12,0,0)</f>
        <v>-1.2100000000000002</v>
      </c>
      <c r="Q49">
        <f>kro(P49,F$1,'Data Entry'!C$17,'Data Entry'!C$10,'Data Entry'!H$6,'Data Entry'!H$7,'Data Entry'!C$12,'Data Entry'!H$11)</f>
        <v>0.0005780431450161924</v>
      </c>
      <c r="S49">
        <f>so(P49,F$1,'Data Entry'!C$17,'Data Entry'!C$10,'Data Entry'!H$6,'Data Entry'!H$7,'Data Entry'!C$12,0,0)</f>
        <v>0.0624218045944227</v>
      </c>
    </row>
    <row r="50" spans="12:19" ht="14.25">
      <c r="L50" s="76">
        <v>47</v>
      </c>
      <c r="M50" s="80">
        <f>elev(L50,F$1,'Data Entry'!C$17,'Data Entry'!C$10,'Data Entry'!H$6,'Data Entry'!H$7,'Data Entry'!C$12,'Data Entry'!C$13,'Data Entry'!C$14)</f>
        <v>-1.3200000000000003</v>
      </c>
      <c r="N50" s="80">
        <f>so(M50,F$1,'Data Entry'!C$17,'Data Entry'!C$10,'Data Entry'!H$6,'Data Entry'!H$7,'Data Entry'!C$12,'Data Entry'!C$13,'Data Entry'!C$14)</f>
        <v>0.16727116350848148</v>
      </c>
      <c r="O50" s="80">
        <f>sw(M50,F$1,'Data Entry'!C$17,'Data Entry'!C$10,'Data Entry'!H$7,'Data Entry'!C$12,'Data Entry'!C$14)</f>
        <v>0.8327288364915185</v>
      </c>
      <c r="P50" s="80">
        <f>elev(L50,F$1,'Data Entry'!C$17,'Data Entry'!C$10,'Data Entry'!H$6,'Data Entry'!H$7,'Data Entry'!C$12,0,0)</f>
        <v>-1.3200000000000003</v>
      </c>
      <c r="Q50">
        <f>kro(P50,F$1,'Data Entry'!C$17,'Data Entry'!C$10,'Data Entry'!H$6,'Data Entry'!H$7,'Data Entry'!C$12,'Data Entry'!H$11)</f>
        <v>2.253548383019928E-05</v>
      </c>
      <c r="S50">
        <f>so(P50,F$1,'Data Entry'!C$17,'Data Entry'!C$10,'Data Entry'!H$6,'Data Entry'!H$7,'Data Entry'!C$12,0,0)</f>
        <v>0.020972127117441786</v>
      </c>
    </row>
    <row r="51" spans="12:19" ht="14.25">
      <c r="L51" s="76">
        <v>48</v>
      </c>
      <c r="M51" s="80">
        <f>elev(L51,F$1,'Data Entry'!C$17,'Data Entry'!C$10,'Data Entry'!H$6,'Data Entry'!H$7,'Data Entry'!C$12,'Data Entry'!C$13,'Data Entry'!C$14)</f>
        <v>-1.43</v>
      </c>
      <c r="N51" s="80">
        <f>so(M51,F$1,'Data Entry'!C$17,'Data Entry'!C$10,'Data Entry'!H$6,'Data Entry'!H$7,'Data Entry'!C$12,'Data Entry'!C$13,'Data Entry'!C$14)</f>
        <v>0.15349211934558582</v>
      </c>
      <c r="O51" s="80">
        <f>sw(M51,F$1,'Data Entry'!C$17,'Data Entry'!C$10,'Data Entry'!H$7,'Data Entry'!C$12,'Data Entry'!C$14)</f>
        <v>0.8465078806544142</v>
      </c>
      <c r="P51" s="80">
        <f>elev(L51,F$1,'Data Entry'!C$17,'Data Entry'!C$10,'Data Entry'!H$6,'Data Entry'!H$7,'Data Entry'!C$12,0,0)</f>
        <v>-1.43</v>
      </c>
      <c r="Q51">
        <f>kro(P51,F$1,'Data Entry'!C$17,'Data Entry'!C$10,'Data Entry'!H$6,'Data Entry'!H$7,'Data Entry'!C$12,'Data Entry'!H$11)</f>
        <v>1.883336571013138E-07</v>
      </c>
      <c r="S51">
        <f>so(P51,F$1,'Data Entry'!C$17,'Data Entry'!C$10,'Data Entry'!H$6,'Data Entry'!H$7,'Data Entry'!C$12,0,0)</f>
        <v>0.0042404306339256514</v>
      </c>
    </row>
    <row r="52" spans="12:19" ht="14.25">
      <c r="L52" s="76">
        <v>49</v>
      </c>
      <c r="M52" s="80">
        <f>elev(L52,F$1,'Data Entry'!C$17,'Data Entry'!C$10,'Data Entry'!H$6,'Data Entry'!H$7,'Data Entry'!C$12,'Data Entry'!C$13,'Data Entry'!C$14)</f>
        <v>-1.5400000000000003</v>
      </c>
      <c r="N52" s="80">
        <f>so(M52,F$1,'Data Entry'!C$17,'Data Entry'!C$10,'Data Entry'!H$6,'Data Entry'!H$7,'Data Entry'!C$12,'Data Entry'!C$13,'Data Entry'!C$14)</f>
        <v>0.15021945454539265</v>
      </c>
      <c r="O52" s="80">
        <f>sw(M52,F$1,'Data Entry'!C$17,'Data Entry'!C$10,'Data Entry'!H$7,'Data Entry'!C$12,'Data Entry'!C$14)</f>
        <v>0.8497805454546074</v>
      </c>
      <c r="P52" s="80">
        <f>elev(L52,F$1,'Data Entry'!C$17,'Data Entry'!C$10,'Data Entry'!H$6,'Data Entry'!H$7,'Data Entry'!C$12,0,0)</f>
        <v>-1.5400000000000003</v>
      </c>
      <c r="Q52">
        <f>kro(P52,F$1,'Data Entry'!C$17,'Data Entry'!C$10,'Data Entry'!H$6,'Data Entry'!H$7,'Data Entry'!C$12,'Data Entry'!H$11)</f>
        <v>4.686169695591814E-11</v>
      </c>
      <c r="S52">
        <f>so(P52,F$1,'Data Entry'!C$17,'Data Entry'!C$10,'Data Entry'!H$6,'Data Entry'!H$7,'Data Entry'!C$12,0,0)</f>
        <v>0.00026648051940536543</v>
      </c>
    </row>
    <row r="53" spans="12:19" ht="14.25">
      <c r="L53" s="76">
        <v>50</v>
      </c>
      <c r="M53" s="80">
        <f>elev(L53,F$1,'Data Entry'!C$17,'Data Entry'!C$10,'Data Entry'!H$6,'Data Entry'!H$7,'Data Entry'!C$12,'Data Entry'!C$13,'Data Entry'!C$14)</f>
        <v>-1.6500000000000001</v>
      </c>
      <c r="N53" s="80">
        <f>so(M53,F$1,'Data Entry'!C$17,'Data Entry'!C$10,'Data Entry'!H$6,'Data Entry'!H$7,'Data Entry'!C$12,'Data Entry'!C$13,'Data Entry'!C$14)</f>
        <v>0.15000000000000002</v>
      </c>
      <c r="O53" s="80">
        <f>sw(M53,F$1,'Data Entry'!C$17,'Data Entry'!C$10,'Data Entry'!H$7,'Data Entry'!C$12,'Data Entry'!C$14)</f>
        <v>0.85</v>
      </c>
      <c r="P53" s="80">
        <f>elev(L53,F$1,'Data Entry'!C$17,'Data Entry'!C$10,'Data Entry'!H$6,'Data Entry'!H$7,'Data Entry'!C$12,0,0)</f>
        <v>-1.6500000000000001</v>
      </c>
      <c r="Q53">
        <f>kro(P53,F$1,'Data Entry'!C$17,'Data Entry'!C$10,'Data Entry'!H$6,'Data Entry'!H$7,'Data Entry'!C$12,'Data Entry'!H$11)</f>
        <v>0</v>
      </c>
      <c r="S53">
        <f>so(P53,F$1,'Data Entry'!C$17,'Data Entry'!C$10,'Data Entry'!H$6,'Data Entry'!H$7,'Data Entry'!C$12,0,0)</f>
        <v>0</v>
      </c>
    </row>
    <row r="54" spans="13:14" ht="14.25">
      <c r="M54" s="80">
        <f>M53</f>
        <v>-1.6500000000000001</v>
      </c>
      <c r="N54" s="80">
        <v>0</v>
      </c>
    </row>
  </sheetData>
  <sheetProtection password="CC02" sheet="1" objects="1" scenarios="1"/>
  <printOptions/>
  <pageMargins left="1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S81"/>
  <sheetViews>
    <sheetView workbookViewId="0" topLeftCell="A1">
      <selection activeCell="E8" sqref="E8"/>
    </sheetView>
  </sheetViews>
  <sheetFormatPr defaultColWidth="9.140625" defaultRowHeight="12.75"/>
  <cols>
    <col min="1" max="1" width="3.8515625" style="0" customWidth="1"/>
    <col min="2" max="3" width="12.7109375" style="76" customWidth="1"/>
    <col min="4" max="4" width="3.7109375" style="76" customWidth="1"/>
    <col min="5" max="5" width="12.7109375" style="76" customWidth="1"/>
    <col min="6" max="6" width="12.7109375" style="0" customWidth="1"/>
    <col min="7" max="7" width="3.7109375" style="0" customWidth="1"/>
    <col min="8" max="9" width="12.7109375" style="0" customWidth="1"/>
    <col min="10" max="10" width="3.7109375" style="0" customWidth="1"/>
    <col min="11" max="12" width="12.7109375" style="0" customWidth="1"/>
  </cols>
  <sheetData>
    <row r="1" spans="1:14" ht="12.75">
      <c r="A1" s="87"/>
      <c r="B1" s="114"/>
      <c r="C1" s="114"/>
      <c r="D1" s="114"/>
      <c r="E1" s="114"/>
      <c r="F1" s="87"/>
      <c r="G1" s="87"/>
      <c r="H1" s="87"/>
      <c r="I1" s="87"/>
      <c r="J1" s="87"/>
      <c r="K1" s="87"/>
      <c r="L1" s="87"/>
      <c r="M1" s="87"/>
      <c r="N1" s="87"/>
    </row>
    <row r="2" spans="1:14" ht="15.75">
      <c r="A2" s="117"/>
      <c r="B2" s="119" t="s">
        <v>39</v>
      </c>
      <c r="C2" s="114"/>
      <c r="D2" s="114"/>
      <c r="E2" s="114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7"/>
      <c r="B3" s="114"/>
      <c r="C3" s="114"/>
      <c r="D3" s="114"/>
      <c r="E3" s="114"/>
      <c r="F3" s="87"/>
      <c r="G3" s="87"/>
      <c r="H3" s="87"/>
      <c r="I3" s="87"/>
      <c r="J3" s="87"/>
      <c r="K3" s="158" t="s">
        <v>43</v>
      </c>
      <c r="L3" s="157"/>
      <c r="M3" s="87"/>
      <c r="N3" s="87"/>
    </row>
    <row r="4" spans="1:14" ht="15.75">
      <c r="A4" s="87"/>
      <c r="B4" s="138" t="s">
        <v>81</v>
      </c>
      <c r="C4" s="183">
        <v>30</v>
      </c>
      <c r="D4" s="114"/>
      <c r="E4" s="155" t="s">
        <v>40</v>
      </c>
      <c r="F4" s="139"/>
      <c r="G4" s="87"/>
      <c r="H4" s="155" t="s">
        <v>41</v>
      </c>
      <c r="I4" s="139"/>
      <c r="J4" s="87"/>
      <c r="K4" s="159" t="s">
        <v>95</v>
      </c>
      <c r="L4" s="160"/>
      <c r="M4" s="87"/>
      <c r="N4" s="87"/>
    </row>
    <row r="5" spans="1:14" ht="15.75">
      <c r="A5" s="87"/>
      <c r="B5" s="141" t="s">
        <v>110</v>
      </c>
      <c r="C5" s="184">
        <v>20</v>
      </c>
      <c r="D5" s="114"/>
      <c r="E5" s="141" t="s">
        <v>83</v>
      </c>
      <c r="F5" s="184">
        <v>0</v>
      </c>
      <c r="G5" s="87"/>
      <c r="H5" s="141" t="s">
        <v>85</v>
      </c>
      <c r="I5" s="184">
        <v>0</v>
      </c>
      <c r="J5" s="87"/>
      <c r="K5" s="161" t="s">
        <v>94</v>
      </c>
      <c r="L5" s="162"/>
      <c r="M5" s="87"/>
      <c r="N5" s="87"/>
    </row>
    <row r="6" spans="1:14" ht="15.75">
      <c r="A6" s="87"/>
      <c r="B6" s="165" t="s">
        <v>82</v>
      </c>
      <c r="C6" s="185">
        <v>2</v>
      </c>
      <c r="D6" s="114"/>
      <c r="E6" s="142" t="s">
        <v>108</v>
      </c>
      <c r="F6" s="185">
        <v>15</v>
      </c>
      <c r="G6" s="87"/>
      <c r="H6" s="141" t="s">
        <v>84</v>
      </c>
      <c r="I6" s="184">
        <v>10</v>
      </c>
      <c r="J6" s="87"/>
      <c r="K6" s="87"/>
      <c r="L6" s="87"/>
      <c r="M6" s="87"/>
      <c r="N6" s="87"/>
    </row>
    <row r="7" spans="1:14" ht="15.75">
      <c r="A7" s="87"/>
      <c r="B7" s="138" t="s">
        <v>93</v>
      </c>
      <c r="C7" s="186">
        <v>5</v>
      </c>
      <c r="D7" s="114"/>
      <c r="E7" s="142" t="s">
        <v>106</v>
      </c>
      <c r="F7" s="185">
        <v>200</v>
      </c>
      <c r="G7" s="87"/>
      <c r="H7" s="156" t="s">
        <v>42</v>
      </c>
      <c r="I7" s="185">
        <v>0.9</v>
      </c>
      <c r="J7" s="87"/>
      <c r="K7" s="166" t="s">
        <v>111</v>
      </c>
      <c r="L7" s="167"/>
      <c r="M7" s="87"/>
      <c r="N7" s="87"/>
    </row>
    <row r="8" spans="1:17" ht="15.75">
      <c r="A8" s="87"/>
      <c r="B8" s="142" t="s">
        <v>107</v>
      </c>
      <c r="C8" s="185">
        <v>0.33</v>
      </c>
      <c r="D8" s="114"/>
      <c r="E8" s="126" t="s">
        <v>109</v>
      </c>
      <c r="F8" s="127">
        <f>IF(F5&gt;0,(1440*F5/7.48)*LN(F7/C8)/(2*PI()*C7*F6),0)</f>
        <v>0</v>
      </c>
      <c r="G8" s="87"/>
      <c r="H8" s="154" t="s">
        <v>105</v>
      </c>
      <c r="I8" s="164">
        <f>IF(I5&gt;0,(1/1440)*2*PI()*C7*I7*I6*(-I9)/(0.018*LN(C5/C8)),0)</f>
        <v>0</v>
      </c>
      <c r="J8" s="87"/>
      <c r="K8" s="168" t="s">
        <v>112</v>
      </c>
      <c r="L8" s="169"/>
      <c r="M8" s="87"/>
      <c r="N8" s="87"/>
      <c r="P8" t="s">
        <v>46</v>
      </c>
      <c r="Q8" t="s">
        <v>35</v>
      </c>
    </row>
    <row r="9" spans="1:19" ht="15.75">
      <c r="A9" s="87"/>
      <c r="C9" s="114"/>
      <c r="D9" s="114"/>
      <c r="E9" s="114"/>
      <c r="F9" s="87"/>
      <c r="G9" s="87"/>
      <c r="H9" s="126" t="s">
        <v>104</v>
      </c>
      <c r="I9" s="172">
        <f>-33.89*I5</f>
        <v>0</v>
      </c>
      <c r="J9" s="87"/>
      <c r="K9" s="170" t="s">
        <v>113</v>
      </c>
      <c r="L9" s="171">
        <f>F8*((C5^2*LN(F7/C5)-C8^2*LN(F7/C8))/((C5^2-C8^2)*LN(F7/C8))+1/(2*LN(F7/C8)))+I9*((C5^2*LN(C5/C5)-C8^2*LN(C5/C8))/((C5^2-C8^2)*LN(C5/C8))+1/(2*LN(C5/C8)))</f>
        <v>0</v>
      </c>
      <c r="M9" s="87"/>
      <c r="N9" s="87"/>
      <c r="P9" s="118">
        <f>IF(C33&lt;C4,C33,)</f>
        <v>7.944510940108122</v>
      </c>
      <c r="Q9">
        <f>IF(C33&lt;C4,'Layer Calcs'!B6,0)</f>
        <v>1.08</v>
      </c>
      <c r="S9" s="123"/>
    </row>
    <row r="10" spans="1:19" ht="15">
      <c r="A10" s="87"/>
      <c r="B10" s="134" t="s">
        <v>59</v>
      </c>
      <c r="C10" s="114"/>
      <c r="D10" s="114"/>
      <c r="E10" s="114"/>
      <c r="F10" s="87"/>
      <c r="G10" s="87"/>
      <c r="H10" s="87"/>
      <c r="I10" s="87"/>
      <c r="J10" s="87"/>
      <c r="K10" s="87"/>
      <c r="L10" s="87"/>
      <c r="M10" s="87"/>
      <c r="N10" s="87"/>
      <c r="P10" s="118">
        <f>IF(C34&lt;C4,C34,P9)</f>
        <v>7.944510940108122</v>
      </c>
      <c r="Q10">
        <f>IF(P10&gt;P9,'Layer Calcs'!B5,Q9)</f>
        <v>1.08</v>
      </c>
      <c r="S10" s="123"/>
    </row>
    <row r="11" spans="1:14" ht="12.75">
      <c r="A11" s="87"/>
      <c r="B11" s="114"/>
      <c r="C11" s="114"/>
      <c r="D11" s="114"/>
      <c r="E11" s="114"/>
      <c r="F11" s="87"/>
      <c r="G11" s="87"/>
      <c r="H11" s="87"/>
      <c r="I11" s="87"/>
      <c r="J11" s="87"/>
      <c r="K11" s="87"/>
      <c r="L11" s="87"/>
      <c r="M11" s="87"/>
      <c r="N11" s="87"/>
    </row>
    <row r="12" spans="1:14" ht="12.75">
      <c r="A12" s="87"/>
      <c r="B12" s="114"/>
      <c r="C12" s="114"/>
      <c r="D12" s="114"/>
      <c r="E12" s="114"/>
      <c r="F12" s="87"/>
      <c r="G12" s="87"/>
      <c r="H12" s="87"/>
      <c r="I12" s="87"/>
      <c r="J12" s="87"/>
      <c r="K12" s="87"/>
      <c r="L12" s="87"/>
      <c r="M12" s="87"/>
      <c r="N12" s="87"/>
    </row>
    <row r="13" spans="1:17" ht="12.75">
      <c r="A13" s="87"/>
      <c r="B13" s="114"/>
      <c r="C13" s="114"/>
      <c r="D13" s="114"/>
      <c r="E13" s="114"/>
      <c r="F13" s="87"/>
      <c r="G13" s="87"/>
      <c r="H13" s="87"/>
      <c r="I13" s="87"/>
      <c r="J13" s="87"/>
      <c r="K13" s="87"/>
      <c r="L13" s="87"/>
      <c r="M13" s="87"/>
      <c r="N13" s="87"/>
      <c r="P13" t="s">
        <v>46</v>
      </c>
      <c r="Q13" t="s">
        <v>47</v>
      </c>
    </row>
    <row r="14" spans="1:17" ht="12.75">
      <c r="A14" s="87"/>
      <c r="B14" s="114"/>
      <c r="C14" s="114"/>
      <c r="D14" s="114"/>
      <c r="E14" s="114"/>
      <c r="F14" s="87"/>
      <c r="G14" s="87"/>
      <c r="H14" s="87"/>
      <c r="I14" s="87"/>
      <c r="J14" s="87"/>
      <c r="K14" s="87"/>
      <c r="L14" s="87"/>
      <c r="M14" s="87"/>
      <c r="N14" s="87"/>
      <c r="P14">
        <v>0</v>
      </c>
      <c r="Q14">
        <f>PI()*C5^2*'Layer Calcs'!C7*7.48</f>
        <v>8212.184853083334</v>
      </c>
    </row>
    <row r="15" spans="1:17" ht="12.75">
      <c r="A15" s="87"/>
      <c r="B15" s="114"/>
      <c r="C15" s="114"/>
      <c r="D15" s="114"/>
      <c r="E15" s="114"/>
      <c r="F15" s="87"/>
      <c r="G15" s="87"/>
      <c r="H15" s="87"/>
      <c r="I15" s="87"/>
      <c r="J15" s="87"/>
      <c r="K15" s="87"/>
      <c r="L15" s="87"/>
      <c r="M15" s="87"/>
      <c r="N15" s="87"/>
      <c r="P15">
        <f>C4</f>
        <v>30</v>
      </c>
      <c r="Q15">
        <f>Q14</f>
        <v>8212.184853083334</v>
      </c>
    </row>
    <row r="16" spans="1:14" ht="12.75">
      <c r="A16" s="87"/>
      <c r="B16" s="114"/>
      <c r="C16" s="114"/>
      <c r="D16" s="114"/>
      <c r="E16" s="114"/>
      <c r="F16" s="87"/>
      <c r="G16" s="87"/>
      <c r="H16" s="87"/>
      <c r="I16" s="87"/>
      <c r="J16" s="87"/>
      <c r="K16" s="87"/>
      <c r="L16" s="87"/>
      <c r="M16" s="87"/>
      <c r="N16" s="87"/>
    </row>
    <row r="17" spans="1:14" ht="12.75">
      <c r="A17" s="87"/>
      <c r="B17" s="114"/>
      <c r="C17" s="114"/>
      <c r="D17" s="114"/>
      <c r="E17" s="114"/>
      <c r="F17" s="87"/>
      <c r="G17" s="87"/>
      <c r="H17" s="87"/>
      <c r="I17" s="87"/>
      <c r="J17" s="87"/>
      <c r="K17" s="87"/>
      <c r="L17" s="87"/>
      <c r="M17" s="87"/>
      <c r="N17" s="87"/>
    </row>
    <row r="18" spans="1:14" ht="12.75">
      <c r="A18" s="87"/>
      <c r="B18" s="114"/>
      <c r="C18" s="114"/>
      <c r="D18" s="114"/>
      <c r="E18" s="114"/>
      <c r="F18" s="87"/>
      <c r="G18" s="87"/>
      <c r="H18" s="87"/>
      <c r="I18" s="87"/>
      <c r="J18" s="87"/>
      <c r="K18" s="87"/>
      <c r="L18" s="87"/>
      <c r="M18" s="87"/>
      <c r="N18" s="87"/>
    </row>
    <row r="19" spans="1:14" ht="12.75">
      <c r="A19" s="87"/>
      <c r="B19" s="114"/>
      <c r="C19" s="114"/>
      <c r="D19" s="114"/>
      <c r="E19" s="114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2.75">
      <c r="A20" s="87"/>
      <c r="B20" s="114"/>
      <c r="C20" s="114"/>
      <c r="D20" s="114"/>
      <c r="E20" s="114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2.75">
      <c r="A21" s="87"/>
      <c r="B21" s="114"/>
      <c r="C21" s="114"/>
      <c r="D21" s="114"/>
      <c r="E21" s="114"/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12.75">
      <c r="A22" s="87"/>
      <c r="B22" s="114"/>
      <c r="C22" s="114"/>
      <c r="D22" s="114"/>
      <c r="E22" s="114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2.75">
      <c r="A23" s="87"/>
      <c r="B23" s="114"/>
      <c r="C23" s="114"/>
      <c r="D23" s="114"/>
      <c r="E23" s="114"/>
      <c r="F23" s="87"/>
      <c r="G23" s="87"/>
      <c r="H23" s="87"/>
      <c r="I23" s="87"/>
      <c r="J23" s="87"/>
      <c r="K23" s="87"/>
      <c r="L23" s="87"/>
      <c r="M23" s="87"/>
      <c r="N23" s="87"/>
    </row>
    <row r="24" spans="1:14" ht="12.75">
      <c r="A24" s="87"/>
      <c r="B24" s="114"/>
      <c r="C24" s="114"/>
      <c r="D24" s="114"/>
      <c r="E24" s="114"/>
      <c r="F24" s="87"/>
      <c r="G24" s="87"/>
      <c r="H24" s="87"/>
      <c r="I24" s="87"/>
      <c r="J24" s="87"/>
      <c r="K24" s="87"/>
      <c r="L24" s="87"/>
      <c r="M24" s="87"/>
      <c r="N24" s="87"/>
    </row>
    <row r="25" spans="1:14" ht="12.75">
      <c r="A25" s="87"/>
      <c r="B25" s="114"/>
      <c r="C25" s="114"/>
      <c r="D25" s="114"/>
      <c r="E25" s="114"/>
      <c r="F25" s="87"/>
      <c r="G25" s="87"/>
      <c r="H25" s="87"/>
      <c r="I25" s="87"/>
      <c r="J25" s="87"/>
      <c r="K25" s="87"/>
      <c r="L25" s="87"/>
      <c r="M25" s="87"/>
      <c r="N25" s="87"/>
    </row>
    <row r="26" spans="1:14" ht="12.75">
      <c r="A26" s="87"/>
      <c r="B26" s="114"/>
      <c r="C26" s="114"/>
      <c r="D26" s="114"/>
      <c r="E26" s="114"/>
      <c r="F26" s="87"/>
      <c r="G26" s="87"/>
      <c r="H26" s="87"/>
      <c r="I26" s="87"/>
      <c r="J26" s="87"/>
      <c r="K26" s="87"/>
      <c r="L26" s="87"/>
      <c r="M26" s="87"/>
      <c r="N26" s="87"/>
    </row>
    <row r="27" spans="1:14" ht="12.75">
      <c r="A27" s="87"/>
      <c r="B27" s="114"/>
      <c r="C27" s="114"/>
      <c r="D27" s="114"/>
      <c r="E27" s="114"/>
      <c r="F27" s="87"/>
      <c r="G27" s="87"/>
      <c r="H27" s="87"/>
      <c r="I27" s="87"/>
      <c r="J27" s="87"/>
      <c r="K27" s="87"/>
      <c r="L27" s="87"/>
      <c r="M27" s="87"/>
      <c r="N27" s="87"/>
    </row>
    <row r="28" spans="1:14" ht="12.75">
      <c r="A28" s="87"/>
      <c r="B28" s="114"/>
      <c r="C28" s="114"/>
      <c r="D28" s="114"/>
      <c r="E28" s="114"/>
      <c r="F28" s="87"/>
      <c r="G28" s="87"/>
      <c r="H28" s="87"/>
      <c r="I28" s="87"/>
      <c r="J28" s="87"/>
      <c r="K28" s="87"/>
      <c r="L28" s="87"/>
      <c r="M28" s="87"/>
      <c r="N28" s="87"/>
    </row>
    <row r="29" spans="1:14" ht="12.75">
      <c r="A29" s="87"/>
      <c r="B29" s="115" t="s">
        <v>44</v>
      </c>
      <c r="C29" s="116">
        <f>'Data Entry'!C9*((1-'Data Entry'!C17)*'Data Entry'!C13+'Data Entry'!C17*'Data Entry'!C14)</f>
        <v>0.049999999999999996</v>
      </c>
      <c r="D29" s="114"/>
      <c r="E29" s="114"/>
      <c r="F29" s="87"/>
      <c r="G29" s="87"/>
      <c r="H29" s="87"/>
      <c r="I29" s="87"/>
      <c r="J29" s="87"/>
      <c r="K29" s="87"/>
      <c r="L29" s="87"/>
      <c r="M29" s="87"/>
      <c r="N29" s="87"/>
    </row>
    <row r="30" spans="1:14" ht="15.75">
      <c r="A30" s="87"/>
      <c r="B30" s="114" t="s">
        <v>96</v>
      </c>
      <c r="C30" s="163">
        <f>('Data Entry'!C17*(1440*F5/7.48)/(PI()*C5^2*C6*F6))</f>
        <v>0</v>
      </c>
      <c r="D30" s="114"/>
      <c r="E30" s="114"/>
      <c r="F30" s="87"/>
      <c r="G30" s="87"/>
      <c r="H30" s="87"/>
      <c r="I30" s="87"/>
      <c r="J30" s="87"/>
      <c r="K30" s="87"/>
      <c r="L30" s="87"/>
      <c r="M30" s="87"/>
      <c r="N30" s="87"/>
    </row>
    <row r="31" spans="1:14" ht="15.75">
      <c r="A31" s="87"/>
      <c r="B31" s="114" t="s">
        <v>97</v>
      </c>
      <c r="C31" s="163">
        <f>'Data Entry'!C17*0.018*(1440*I8)/(PI()*C5^2*C6*I7*I6)</f>
        <v>0</v>
      </c>
      <c r="D31" s="114"/>
      <c r="E31" s="114"/>
      <c r="F31" s="87"/>
      <c r="G31" s="87"/>
      <c r="H31" s="87"/>
      <c r="I31" s="87"/>
      <c r="J31" s="87"/>
      <c r="K31" s="87"/>
      <c r="L31" s="87"/>
      <c r="M31" s="87"/>
      <c r="N31" s="87"/>
    </row>
    <row r="32" spans="1:14" ht="15.75">
      <c r="A32" s="87"/>
      <c r="B32" s="114" t="s">
        <v>98</v>
      </c>
      <c r="C32" s="163">
        <f>(1-'Data Entry'!C17)*'Data Entry'!C17*C7/(C5^2*C6*LN(C5/C8))</f>
        <v>0.0002855171174073549</v>
      </c>
      <c r="D32" s="114"/>
      <c r="E32" s="114"/>
      <c r="F32" s="87"/>
      <c r="G32" s="87"/>
      <c r="H32" s="87"/>
      <c r="I32" s="87"/>
      <c r="J32" s="87"/>
      <c r="K32" s="87"/>
      <c r="L32" s="87"/>
      <c r="M32" s="87"/>
      <c r="N32" s="87"/>
    </row>
    <row r="33" spans="2:6" ht="15.75">
      <c r="B33" s="114" t="s">
        <v>99</v>
      </c>
      <c r="C33" s="88">
        <f>tt2('Layer Calcs'!B6,'Layer Calcs'!B7,'Layer Calcs'!F7,'Layer Calcs'!G7,'Layer Calcs'!H7,Well!C29,Well!C30,Well!C31,Well!C32)</f>
        <v>7.944510940108122</v>
      </c>
      <c r="D33" s="114"/>
      <c r="E33" s="114"/>
      <c r="F33" s="87"/>
    </row>
    <row r="34" spans="2:8" ht="15.75">
      <c r="B34" s="114" t="s">
        <v>100</v>
      </c>
      <c r="C34" s="88">
        <f>tt1('Layer Calcs'!B5,'Layer Calcs'!B6,'Layer Calcs'!F6,'Layer Calcs'!G6,'Layer Calcs'!H6,Well!C29,Well!C30,Well!C31,Well!C32,Well!C33)</f>
        <v>1831.241390252847</v>
      </c>
      <c r="D34" s="114"/>
      <c r="E34" s="114"/>
      <c r="F34" s="87"/>
      <c r="H34" t="s">
        <v>32</v>
      </c>
    </row>
    <row r="35" spans="2:6" ht="12.75">
      <c r="B35" s="114"/>
      <c r="C35" s="114"/>
      <c r="D35" s="114"/>
      <c r="E35" s="114"/>
      <c r="F35" s="87"/>
    </row>
    <row r="36" spans="2:6" ht="12.75">
      <c r="B36" s="114"/>
      <c r="C36" s="114"/>
      <c r="D36" s="114"/>
      <c r="E36" s="114"/>
      <c r="F36" s="87"/>
    </row>
    <row r="37" spans="2:9" ht="15.75">
      <c r="B37" s="114" t="s">
        <v>45</v>
      </c>
      <c r="C37" s="114" t="s">
        <v>92</v>
      </c>
      <c r="E37" s="114" t="s">
        <v>91</v>
      </c>
      <c r="F37" s="114" t="s">
        <v>89</v>
      </c>
      <c r="H37" s="114" t="s">
        <v>101</v>
      </c>
      <c r="I37" s="76" t="s">
        <v>90</v>
      </c>
    </row>
    <row r="38" spans="2:9" ht="12.75">
      <c r="B38" s="114">
        <v>0</v>
      </c>
      <c r="C38" s="146">
        <f>tmrec(B38,C$34,C$33,0,C$4)</f>
        <v>0</v>
      </c>
      <c r="E38" s="148">
        <f aca="true" t="shared" si="0" ref="E38:E78">C38*365</f>
        <v>0</v>
      </c>
      <c r="F38" s="147">
        <f>bot(E38,365*C$33,365*C$34,'Layer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38" s="146">
        <f>7.48*PI()*C$5^2*vo_recover(F38,C$29,'Layer Calcs'!B$5,'Layer Calcs'!B$6,'Layer Calcs'!B$7,'Layer Calcs'!F$5,'Layer Calcs'!F$6,'Layer Calcs'!F$7)</f>
        <v>0.0801122066641543</v>
      </c>
      <c r="I38" s="145">
        <f>IF((C$30+C$31)&gt;0,('Data Entry'!C$17*F38/C$6)*(1440/7.48)*(F$5/F$6+0.018*I$8/(I$7*I$6)),PI()*(1-'Data Entry'!C$17)*'Data Entry'!C$17*C$7*F38^2/(C$6*LN(C$5/C$8)))*kro_b(F38,'Layer Calcs'!B$5,'Layer Calcs'!B$6,'Layer Calcs'!G$6,'Layer Calcs'!G$7,'Layer Calcs'!H$5,'Layer Calcs'!H$6,'Layer Calcs'!H$7)*7.48</f>
        <v>10.97861950440632</v>
      </c>
    </row>
    <row r="39" spans="2:9" ht="12.75">
      <c r="B39" s="114">
        <v>1</v>
      </c>
      <c r="C39" s="146">
        <f aca="true" t="shared" si="1" ref="C39:C78">tmrec(B39,C$34,C$33,0,C$4)</f>
        <v>0</v>
      </c>
      <c r="E39" s="148">
        <f>C39*365</f>
        <v>0</v>
      </c>
      <c r="F39" s="147">
        <f>bot(E39,365*C$33,365*C$34,'Layer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39" s="146">
        <f>7.48*PI()*C$5^2*vo_recover(F39,C$29,'Layer Calcs'!B$5,'Layer Calcs'!B$6,'Layer Calcs'!B$7,'Layer Calcs'!F$5,'Layer Calcs'!F$6,'Layer Calcs'!F$7)</f>
        <v>0.0801122066641543</v>
      </c>
      <c r="I39" s="145">
        <f>IF((C$30+C$31)&gt;0,('Data Entry'!C$17*F39/C$6)*(1440/7.48)*(F$5/F$6+0.018*I$8/(I$7*I$6)),PI()*(1-'Data Entry'!C$17)*'Data Entry'!C$17*C$7*F39^2/(C$6*LN(C$5/C$8)))*kro_b(F39,'Layer Calcs'!B$5,'Layer Calcs'!B$6,'Layer Calcs'!G$6,'Layer Calcs'!G$7,'Layer Calcs'!H$5,'Layer Calcs'!H$6,'Layer Calcs'!H$7)*7.48</f>
        <v>10.97861950440632</v>
      </c>
    </row>
    <row r="40" spans="2:9" ht="12.75">
      <c r="B40" s="114">
        <v>2</v>
      </c>
      <c r="C40" s="146">
        <f t="shared" si="1"/>
        <v>0</v>
      </c>
      <c r="E40" s="148">
        <f t="shared" si="0"/>
        <v>0</v>
      </c>
      <c r="F40" s="147">
        <f>bot(E40,365*C$33,365*C$34,'Layer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0" s="146">
        <f>7.48*PI()*C$5^2*vo_recover(F40,C$29,'Layer Calcs'!B$5,'Layer Calcs'!B$6,'Layer Calcs'!B$7,'Layer Calcs'!F$5,'Layer Calcs'!F$6,'Layer Calcs'!F$7)</f>
        <v>0.0801122066641543</v>
      </c>
      <c r="I40" s="145">
        <f>IF((C$30+C$31)&gt;0,('Data Entry'!C$17*F40/C$6)*(1440/7.48)*(F$5/F$6+0.018*I$8/(I$7*I$6)),PI()*(1-'Data Entry'!C$17)*'Data Entry'!C$17*C$7*F40^2/(C$6*LN(C$5/C$8)))*kro_b(F40,'Layer Calcs'!B$5,'Layer Calcs'!B$6,'Layer Calcs'!G$6,'Layer Calcs'!G$7,'Layer Calcs'!H$5,'Layer Calcs'!H$6,'Layer Calcs'!H$7)*7.48</f>
        <v>10.97861950440632</v>
      </c>
    </row>
    <row r="41" spans="2:9" ht="12.75">
      <c r="B41" s="114">
        <v>3</v>
      </c>
      <c r="C41" s="146">
        <f t="shared" si="1"/>
        <v>0</v>
      </c>
      <c r="E41" s="148">
        <f t="shared" si="0"/>
        <v>0</v>
      </c>
      <c r="F41" s="147">
        <f>bot(E41,365*C$33,365*C$34,'Layer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1" s="146">
        <f>7.48*PI()*C$5^2*vo_recover(F41,C$29,'Layer Calcs'!B$5,'Layer Calcs'!B$6,'Layer Calcs'!B$7,'Layer Calcs'!F$5,'Layer Calcs'!F$6,'Layer Calcs'!F$7)</f>
        <v>0.0801122066641543</v>
      </c>
      <c r="I41" s="145">
        <f>IF((C$30+C$31)&gt;0,('Data Entry'!C$17*F41/C$6)*(1440/7.48)*(F$5/F$6+0.018*I$8/(I$7*I$6)),PI()*(1-'Data Entry'!C$17)*'Data Entry'!C$17*C$7*F41^2/(C$6*LN(C$5/C$8)))*kro_b(F41,'Layer Calcs'!B$5,'Layer Calcs'!B$6,'Layer Calcs'!G$6,'Layer Calcs'!G$7,'Layer Calcs'!H$5,'Layer Calcs'!H$6,'Layer Calcs'!H$7)*7.48</f>
        <v>10.97861950440632</v>
      </c>
    </row>
    <row r="42" spans="2:9" ht="12.75">
      <c r="B42" s="114">
        <v>4</v>
      </c>
      <c r="C42" s="146">
        <f t="shared" si="1"/>
        <v>0</v>
      </c>
      <c r="E42" s="148">
        <f t="shared" si="0"/>
        <v>0</v>
      </c>
      <c r="F42" s="147">
        <f>bot(E42,365*C$33,365*C$34,'Layer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2" s="146">
        <f>7.48*PI()*C$5^2*vo_recover(F42,C$29,'Layer Calcs'!B$5,'Layer Calcs'!B$6,'Layer Calcs'!B$7,'Layer Calcs'!F$5,'Layer Calcs'!F$6,'Layer Calcs'!F$7)</f>
        <v>0.0801122066641543</v>
      </c>
      <c r="I42" s="145">
        <f>IF((C$30+C$31)&gt;0,('Data Entry'!C$17*F42/C$6)*(1440/7.48)*(F$5/F$6+0.018*I$8/(I$7*I$6)),PI()*(1-'Data Entry'!C$17)*'Data Entry'!C$17*C$7*F42^2/(C$6*LN(C$5/C$8)))*kro_b(F42,'Layer Calcs'!B$5,'Layer Calcs'!B$6,'Layer Calcs'!G$6,'Layer Calcs'!G$7,'Layer Calcs'!H$5,'Layer Calcs'!H$6,'Layer Calcs'!H$7)*7.48</f>
        <v>10.97861950440632</v>
      </c>
    </row>
    <row r="43" spans="2:9" ht="12.75">
      <c r="B43" s="114">
        <v>5</v>
      </c>
      <c r="C43" s="146">
        <f t="shared" si="1"/>
        <v>0</v>
      </c>
      <c r="E43" s="148">
        <f t="shared" si="0"/>
        <v>0</v>
      </c>
      <c r="F43" s="147">
        <f>bot(E43,365*C$33,365*C$34,'Layer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3" s="146">
        <f>7.48*PI()*C$5^2*vo_recover(F43,C$29,'Layer Calcs'!B$5,'Layer Calcs'!B$6,'Layer Calcs'!B$7,'Layer Calcs'!F$5,'Layer Calcs'!F$6,'Layer Calcs'!F$7)</f>
        <v>0.0801122066641543</v>
      </c>
      <c r="I43" s="145">
        <f>IF((C$30+C$31)&gt;0,('Data Entry'!C$17*F43/C$6)*(1440/7.48)*(F$5/F$6+0.018*I$8/(I$7*I$6)),PI()*(1-'Data Entry'!C$17)*'Data Entry'!C$17*C$7*F43^2/(C$6*LN(C$5/C$8)))*kro_b(F43,'Layer Calcs'!B$5,'Layer Calcs'!B$6,'Layer Calcs'!G$6,'Layer Calcs'!G$7,'Layer Calcs'!H$5,'Layer Calcs'!H$6,'Layer Calcs'!H$7)*7.48</f>
        <v>10.97861950440632</v>
      </c>
    </row>
    <row r="44" spans="2:9" ht="12.75">
      <c r="B44" s="114">
        <v>6</v>
      </c>
      <c r="C44" s="146">
        <f t="shared" si="1"/>
        <v>0</v>
      </c>
      <c r="E44" s="148">
        <f t="shared" si="0"/>
        <v>0</v>
      </c>
      <c r="F44" s="147">
        <f>bot(E44,365*C$33,365*C$34,'Layer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4" s="146">
        <f>7.48*PI()*C$5^2*vo_recover(F44,C$29,'Layer Calcs'!B$5,'Layer Calcs'!B$6,'Layer Calcs'!B$7,'Layer Calcs'!F$5,'Layer Calcs'!F$6,'Layer Calcs'!F$7)</f>
        <v>0.0801122066641543</v>
      </c>
      <c r="I44" s="145">
        <f>IF((C$30+C$31)&gt;0,('Data Entry'!C$17*F44/C$6)*(1440/7.48)*(F$5/F$6+0.018*I$8/(I$7*I$6)),PI()*(1-'Data Entry'!C$17)*'Data Entry'!C$17*C$7*F44^2/(C$6*LN(C$5/C$8)))*kro_b(F44,'Layer Calcs'!B$5,'Layer Calcs'!B$6,'Layer Calcs'!G$6,'Layer Calcs'!G$7,'Layer Calcs'!H$5,'Layer Calcs'!H$6,'Layer Calcs'!H$7)*7.48</f>
        <v>10.97861950440632</v>
      </c>
    </row>
    <row r="45" spans="2:9" ht="12.75">
      <c r="B45" s="114">
        <v>7</v>
      </c>
      <c r="C45" s="146">
        <f t="shared" si="1"/>
        <v>0</v>
      </c>
      <c r="E45" s="148">
        <f t="shared" si="0"/>
        <v>0</v>
      </c>
      <c r="F45" s="147">
        <f>bot(E45,365*C$33,365*C$34,'Layer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5" s="146">
        <f>7.48*PI()*C$5^2*vo_recover(F45,C$29,'Layer Calcs'!B$5,'Layer Calcs'!B$6,'Layer Calcs'!B$7,'Layer Calcs'!F$5,'Layer Calcs'!F$6,'Layer Calcs'!F$7)</f>
        <v>0.0801122066641543</v>
      </c>
      <c r="I45" s="145">
        <f>IF((C$30+C$31)&gt;0,('Data Entry'!C$17*F45/C$6)*(1440/7.48)*(F$5/F$6+0.018*I$8/(I$7*I$6)),PI()*(1-'Data Entry'!C$17)*'Data Entry'!C$17*C$7*F45^2/(C$6*LN(C$5/C$8)))*kro_b(F45,'Layer Calcs'!B$5,'Layer Calcs'!B$6,'Layer Calcs'!G$6,'Layer Calcs'!G$7,'Layer Calcs'!H$5,'Layer Calcs'!H$6,'Layer Calcs'!H$7)*7.48</f>
        <v>10.97861950440632</v>
      </c>
    </row>
    <row r="46" spans="2:9" ht="12.75">
      <c r="B46" s="114">
        <v>8</v>
      </c>
      <c r="C46" s="146">
        <f t="shared" si="1"/>
        <v>0</v>
      </c>
      <c r="E46" s="148">
        <f t="shared" si="0"/>
        <v>0</v>
      </c>
      <c r="F46" s="147">
        <f>bot(E46,365*C$33,365*C$34,'Layer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6" s="146">
        <f>7.48*PI()*C$5^2*vo_recover(F46,C$29,'Layer Calcs'!B$5,'Layer Calcs'!B$6,'Layer Calcs'!B$7,'Layer Calcs'!F$5,'Layer Calcs'!F$6,'Layer Calcs'!F$7)</f>
        <v>0.0801122066641543</v>
      </c>
      <c r="I46" s="145">
        <f>IF((C$30+C$31)&gt;0,('Data Entry'!C$17*F46/C$6)*(1440/7.48)*(F$5/F$6+0.018*I$8/(I$7*I$6)),PI()*(1-'Data Entry'!C$17)*'Data Entry'!C$17*C$7*F46^2/(C$6*LN(C$5/C$8)))*kro_b(F46,'Layer Calcs'!B$5,'Layer Calcs'!B$6,'Layer Calcs'!G$6,'Layer Calcs'!G$7,'Layer Calcs'!H$5,'Layer Calcs'!H$6,'Layer Calcs'!H$7)*7.48</f>
        <v>10.97861950440632</v>
      </c>
    </row>
    <row r="47" spans="2:9" ht="12.75">
      <c r="B47" s="114">
        <v>9</v>
      </c>
      <c r="C47" s="146">
        <f t="shared" si="1"/>
        <v>0</v>
      </c>
      <c r="E47" s="148">
        <f t="shared" si="0"/>
        <v>0</v>
      </c>
      <c r="F47" s="147">
        <f>bot(E47,365*C$33,365*C$34,'Layer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7" s="146">
        <f>7.48*PI()*C$5^2*vo_recover(F47,C$29,'Layer Calcs'!B$5,'Layer Calcs'!B$6,'Layer Calcs'!B$7,'Layer Calcs'!F$5,'Layer Calcs'!F$6,'Layer Calcs'!F$7)</f>
        <v>0.0801122066641543</v>
      </c>
      <c r="I47" s="145">
        <f>IF((C$30+C$31)&gt;0,('Data Entry'!C$17*F47/C$6)*(1440/7.48)*(F$5/F$6+0.018*I$8/(I$7*I$6)),PI()*(1-'Data Entry'!C$17)*'Data Entry'!C$17*C$7*F47^2/(C$6*LN(C$5/C$8)))*kro_b(F47,'Layer Calcs'!B$5,'Layer Calcs'!B$6,'Layer Calcs'!G$6,'Layer Calcs'!G$7,'Layer Calcs'!H$5,'Layer Calcs'!H$6,'Layer Calcs'!H$7)*7.48</f>
        <v>10.97861950440632</v>
      </c>
    </row>
    <row r="48" spans="2:9" ht="12.75">
      <c r="B48" s="114">
        <v>10</v>
      </c>
      <c r="C48" s="146">
        <f t="shared" si="1"/>
        <v>0</v>
      </c>
      <c r="E48" s="148">
        <f t="shared" si="0"/>
        <v>0</v>
      </c>
      <c r="F48" s="147">
        <f>bot(E48,365*C$33,365*C$34,'Layer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8" s="146">
        <f>7.48*PI()*C$5^2*vo_recover(F48,C$29,'Layer Calcs'!B$5,'Layer Calcs'!B$6,'Layer Calcs'!B$7,'Layer Calcs'!F$5,'Layer Calcs'!F$6,'Layer Calcs'!F$7)</f>
        <v>0.0801122066641543</v>
      </c>
      <c r="I48" s="145">
        <f>IF((C$30+C$31)&gt;0,('Data Entry'!C$17*F48/C$6)*(1440/7.48)*(F$5/F$6+0.018*I$8/(I$7*I$6)),PI()*(1-'Data Entry'!C$17)*'Data Entry'!C$17*C$7*F48^2/(C$6*LN(C$5/C$8)))*kro_b(F48,'Layer Calcs'!B$5,'Layer Calcs'!B$6,'Layer Calcs'!G$6,'Layer Calcs'!G$7,'Layer Calcs'!H$5,'Layer Calcs'!H$6,'Layer Calcs'!H$7)*7.48</f>
        <v>10.97861950440632</v>
      </c>
    </row>
    <row r="49" spans="2:9" ht="12.75">
      <c r="B49" s="114">
        <v>11</v>
      </c>
      <c r="C49" s="146">
        <f t="shared" si="1"/>
        <v>0.7944510940108123</v>
      </c>
      <c r="E49" s="148">
        <f t="shared" si="0"/>
        <v>289.9746493139465</v>
      </c>
      <c r="F49" s="147">
        <f>bot(E49,365*C$33,365*C$34,'Layer Calcs'!B$5,'Layer Calcs'!B$6,'Layer Calcs'!B$7,'Layer Calcs'!F$5,'Layer Calcs'!F$6,'Layer Calcs'!F$7,'Layer Calcs'!G$6,'Layer Calcs'!G$7,'Layer Calcs'!H$5,'Layer Calcs'!H$6,'Layer Calcs'!H$7,Well!C$29,Well!C$30,Well!C$31,Well!C$32)</f>
        <v>2.2618066406250006</v>
      </c>
      <c r="H49" s="146">
        <f>7.48*PI()*C$5^2*vo_recover(F49,C$29,'Layer Calcs'!B$5,'Layer Calcs'!B$6,'Layer Calcs'!B$7,'Layer Calcs'!F$5,'Layer Calcs'!F$6,'Layer Calcs'!F$7)</f>
        <v>2018.5872713338292</v>
      </c>
      <c r="I49" s="145">
        <f>IF((C$30+C$31)&gt;0,('Data Entry'!C$17*F49/C$6)*(1440/7.48)*(F$5/F$6+0.018*I$8/(I$7*I$6)),PI()*(1-'Data Entry'!C$17)*'Data Entry'!C$17*C$7*F49^2/(C$6*LN(C$5/C$8)))*kro_b(F49,'Layer Calcs'!B$5,'Layer Calcs'!B$6,'Layer Calcs'!G$6,'Layer Calcs'!G$7,'Layer Calcs'!H$5,'Layer Calcs'!H$6,'Layer Calcs'!H$7)*7.48</f>
        <v>4.510480477964063</v>
      </c>
    </row>
    <row r="50" spans="2:9" ht="12.75">
      <c r="B50" s="114">
        <v>12</v>
      </c>
      <c r="C50" s="146">
        <f t="shared" si="1"/>
        <v>1.5889021880216245</v>
      </c>
      <c r="E50" s="148">
        <f t="shared" si="0"/>
        <v>579.949298627893</v>
      </c>
      <c r="F50" s="147">
        <f>bot(E50,365*C$33,365*C$34,'Layer Calcs'!B$5,'Layer Calcs'!B$6,'Layer Calcs'!B$7,'Layer Calcs'!F$5,'Layer Calcs'!F$6,'Layer Calcs'!F$7,'Layer Calcs'!G$6,'Layer Calcs'!G$7,'Layer Calcs'!H$5,'Layer Calcs'!H$6,'Layer Calcs'!H$7,Well!C$29,Well!C$30,Well!C$31,Well!C$32)</f>
        <v>1.900986328125</v>
      </c>
      <c r="H50" s="146">
        <f>7.48*PI()*C$5^2*vo_recover(F50,C$29,'Layer Calcs'!B$5,'Layer Calcs'!B$6,'Layer Calcs'!B$7,'Layer Calcs'!F$5,'Layer Calcs'!F$6,'Layer Calcs'!F$7)</f>
        <v>3005.249208617931</v>
      </c>
      <c r="I50" s="145">
        <f>IF((C$30+C$31)&gt;0,('Data Entry'!C$17*F50/C$6)*(1440/7.48)*(F$5/F$6+0.018*I$8/(I$7*I$6)),PI()*(1-'Data Entry'!C$17)*'Data Entry'!C$17*C$7*F50^2/(C$6*LN(C$5/C$8)))*kro_b(F50,'Layer Calcs'!B$5,'Layer Calcs'!B$6,'Layer Calcs'!G$6,'Layer Calcs'!G$7,'Layer Calcs'!H$5,'Layer Calcs'!H$6,'Layer Calcs'!H$7)*7.48</f>
        <v>2.5887904890272697</v>
      </c>
    </row>
    <row r="51" spans="2:9" ht="12.75">
      <c r="B51" s="114">
        <v>13</v>
      </c>
      <c r="C51" s="146">
        <f t="shared" si="1"/>
        <v>2.3833532820324366</v>
      </c>
      <c r="E51" s="148">
        <f t="shared" si="0"/>
        <v>869.9239479418394</v>
      </c>
      <c r="F51" s="147">
        <f>bot(E51,365*C$33,365*C$34,'Layer Calcs'!B$5,'Layer Calcs'!B$6,'Layer Calcs'!B$7,'Layer Calcs'!F$5,'Layer Calcs'!F$6,'Layer Calcs'!F$7,'Layer Calcs'!G$6,'Layer Calcs'!G$7,'Layer Calcs'!H$5,'Layer Calcs'!H$6,'Layer Calcs'!H$7,Well!C$29,Well!C$30,Well!C$31,Well!C$32)</f>
        <v>1.6772607421874999</v>
      </c>
      <c r="H51" s="146">
        <f>7.48*PI()*C$5^2*vo_recover(F51,C$29,'Layer Calcs'!B$5,'Layer Calcs'!B$6,'Layer Calcs'!B$7,'Layer Calcs'!F$5,'Layer Calcs'!F$6,'Layer Calcs'!F$7)</f>
        <v>3617.0260748139385</v>
      </c>
      <c r="I51" s="145">
        <f>IF((C$30+C$31)&gt;0,('Data Entry'!C$17*F51/C$6)*(1440/7.48)*(F$5/F$6+0.018*I$8/(I$7*I$6)),PI()*(1-'Data Entry'!C$17)*'Data Entry'!C$17*C$7*F51^2/(C$6*LN(C$5/C$8)))*kro_b(F51,'Layer Calcs'!B$5,'Layer Calcs'!B$6,'Layer Calcs'!G$6,'Layer Calcs'!G$7,'Layer Calcs'!H$5,'Layer Calcs'!H$6,'Layer Calcs'!H$7)*7.48</f>
        <v>1.7269497404649528</v>
      </c>
    </row>
    <row r="52" spans="2:9" ht="12.75">
      <c r="B52" s="114">
        <v>14</v>
      </c>
      <c r="C52" s="146">
        <f t="shared" si="1"/>
        <v>3.177804376043249</v>
      </c>
      <c r="E52" s="148">
        <f t="shared" si="0"/>
        <v>1159.898597255786</v>
      </c>
      <c r="F52" s="147">
        <f>bot(E52,365*C$33,365*C$34,'Layer Calcs'!B$5,'Layer Calcs'!B$6,'Layer Calcs'!B$7,'Layer Calcs'!F$5,'Layer Calcs'!F$6,'Layer Calcs'!F$7,'Layer Calcs'!G$6,'Layer Calcs'!G$7,'Layer Calcs'!H$5,'Layer Calcs'!H$6,'Layer Calcs'!H$7,Well!C$29,Well!C$30,Well!C$31,Well!C$32)</f>
        <v>1.521328125</v>
      </c>
      <c r="H52" s="146">
        <f>7.48*PI()*C$5^2*vo_recover(F52,C$29,'Layer Calcs'!B$5,'Layer Calcs'!B$6,'Layer Calcs'!B$7,'Layer Calcs'!F$5,'Layer Calcs'!F$6,'Layer Calcs'!F$7)</f>
        <v>4043.4232947875194</v>
      </c>
      <c r="I52" s="145">
        <f>IF((C$30+C$31)&gt;0,('Data Entry'!C$17*F52/C$6)*(1440/7.48)*(F$5/F$6+0.018*I$8/(I$7*I$6)),PI()*(1-'Data Entry'!C$17)*'Data Entry'!C$17*C$7*F52^2/(C$6*LN(C$5/C$8)))*kro_b(F52,'Layer Calcs'!B$5,'Layer Calcs'!B$6,'Layer Calcs'!G$6,'Layer Calcs'!G$7,'Layer Calcs'!H$5,'Layer Calcs'!H$6,'Layer Calcs'!H$7)*7.48</f>
        <v>1.2554275993921447</v>
      </c>
    </row>
    <row r="53" spans="2:9" ht="12.75">
      <c r="B53" s="114">
        <v>15</v>
      </c>
      <c r="C53" s="146">
        <f t="shared" si="1"/>
        <v>3.972255470054061</v>
      </c>
      <c r="E53" s="148">
        <f t="shared" si="0"/>
        <v>1449.8732465697324</v>
      </c>
      <c r="F53" s="147">
        <f>bot(E53,365*C$33,365*C$34,'Layer Calcs'!B$5,'Layer Calcs'!B$6,'Layer Calcs'!B$7,'Layer Calcs'!F$5,'Layer Calcs'!F$6,'Layer Calcs'!F$7,'Layer Calcs'!G$6,'Layer Calcs'!G$7,'Layer Calcs'!H$5,'Layer Calcs'!H$6,'Layer Calcs'!H$7,Well!C$29,Well!C$30,Well!C$31,Well!C$32)</f>
        <v>1.4047265625</v>
      </c>
      <c r="H53" s="146">
        <f>7.48*PI()*C$5^2*vo_recover(F53,C$29,'Layer Calcs'!B$5,'Layer Calcs'!B$6,'Layer Calcs'!B$7,'Layer Calcs'!F$5,'Layer Calcs'!F$6,'Layer Calcs'!F$7)</f>
        <v>4362.269877313559</v>
      </c>
      <c r="I53" s="145">
        <f>IF((C$30+C$31)&gt;0,('Data Entry'!C$17*F53/C$6)*(1440/7.48)*(F$5/F$6+0.018*I$8/(I$7*I$6)),PI()*(1-'Data Entry'!C$17)*'Data Entry'!C$17*C$7*F53^2/(C$6*LN(C$5/C$8)))*kro_b(F53,'Layer Calcs'!B$5,'Layer Calcs'!B$6,'Layer Calcs'!G$6,'Layer Calcs'!G$7,'Layer Calcs'!H$5,'Layer Calcs'!H$6,'Layer Calcs'!H$7)*7.48</f>
        <v>0.9649460322421431</v>
      </c>
    </row>
    <row r="54" spans="2:9" ht="12.75">
      <c r="B54" s="114">
        <v>16</v>
      </c>
      <c r="C54" s="146">
        <f t="shared" si="1"/>
        <v>4.766706564064873</v>
      </c>
      <c r="E54" s="148">
        <f t="shared" si="0"/>
        <v>1739.8478958836788</v>
      </c>
      <c r="F54" s="147">
        <f>bot(E54,365*C$33,365*C$34,'Layer Calcs'!B$5,'Layer Calcs'!B$6,'Layer Calcs'!B$7,'Layer Calcs'!F$5,'Layer Calcs'!F$6,'Layer Calcs'!F$7,'Layer Calcs'!G$6,'Layer Calcs'!G$7,'Layer Calcs'!H$5,'Layer Calcs'!H$6,'Layer Calcs'!H$7,Well!C$29,Well!C$30,Well!C$31,Well!C$32)</f>
        <v>1.3133056640625003</v>
      </c>
      <c r="H54" s="146">
        <f>7.48*PI()*C$5^2*vo_recover(F54,C$29,'Layer Calcs'!B$5,'Layer Calcs'!B$6,'Layer Calcs'!B$7,'Layer Calcs'!F$5,'Layer Calcs'!F$6,'Layer Calcs'!F$7)</f>
        <v>4612.260018211175</v>
      </c>
      <c r="I54" s="145">
        <f>IF((C$30+C$31)&gt;0,('Data Entry'!C$17*F54/C$6)*(1440/7.48)*(F$5/F$6+0.018*I$8/(I$7*I$6)),PI()*(1-'Data Entry'!C$17)*'Data Entry'!C$17*C$7*F54^2/(C$6*LN(C$5/C$8)))*kro_b(F54,'Layer Calcs'!B$5,'Layer Calcs'!B$6,'Layer Calcs'!G$6,'Layer Calcs'!G$7,'Layer Calcs'!H$5,'Layer Calcs'!H$6,'Layer Calcs'!H$7)*7.48</f>
        <v>0.7711930114412598</v>
      </c>
    </row>
    <row r="55" spans="2:9" ht="12.75">
      <c r="B55" s="114">
        <v>17</v>
      </c>
      <c r="C55" s="146">
        <f t="shared" si="1"/>
        <v>5.561157658075685</v>
      </c>
      <c r="E55" s="148">
        <f t="shared" si="0"/>
        <v>2029.822545197625</v>
      </c>
      <c r="F55" s="147">
        <f>bot(E55,365*C$33,365*C$34,'Layer Calcs'!B$5,'Layer Calcs'!B$6,'Layer Calcs'!B$7,'Layer Calcs'!F$5,'Layer Calcs'!F$6,'Layer Calcs'!F$7,'Layer Calcs'!G$6,'Layer Calcs'!G$7,'Layer Calcs'!H$5,'Layer Calcs'!H$6,'Layer Calcs'!H$7,Well!C$29,Well!C$30,Well!C$31,Well!C$32)</f>
        <v>1.2391699218750003</v>
      </c>
      <c r="H55" s="146">
        <f>7.48*PI()*C$5^2*vo_recover(F55,C$29,'Layer Calcs'!B$5,'Layer Calcs'!B$6,'Layer Calcs'!B$7,'Layer Calcs'!F$5,'Layer Calcs'!F$6,'Layer Calcs'!F$7)</f>
        <v>4814.983957176538</v>
      </c>
      <c r="I55" s="145">
        <f>IF((C$30+C$31)&gt;0,('Data Entry'!C$17*F55/C$6)*(1440/7.48)*(F$5/F$6+0.018*I$8/(I$7*I$6)),PI()*(1-'Data Entry'!C$17)*'Data Entry'!C$17*C$7*F55^2/(C$6*LN(C$5/C$8)))*kro_b(F55,'Layer Calcs'!B$5,'Layer Calcs'!B$6,'Layer Calcs'!G$6,'Layer Calcs'!G$7,'Layer Calcs'!H$5,'Layer Calcs'!H$6,'Layer Calcs'!H$7)*7.48</f>
        <v>0.6344282584838689</v>
      </c>
    </row>
    <row r="56" spans="2:9" ht="12.75">
      <c r="B56" s="114">
        <v>18</v>
      </c>
      <c r="C56" s="146">
        <f t="shared" si="1"/>
        <v>6.355608752086498</v>
      </c>
      <c r="E56" s="148">
        <f t="shared" si="0"/>
        <v>2319.797194511572</v>
      </c>
      <c r="F56" s="147">
        <f>bot(E56,365*C$33,365*C$34,'Layer Calcs'!B$5,'Layer Calcs'!B$6,'Layer Calcs'!B$7,'Layer Calcs'!F$5,'Layer Calcs'!F$6,'Layer Calcs'!F$7,'Layer Calcs'!G$6,'Layer Calcs'!G$7,'Layer Calcs'!H$5,'Layer Calcs'!H$6,'Layer Calcs'!H$7,Well!C$29,Well!C$30,Well!C$31,Well!C$32)</f>
        <v>1.1774926757812503</v>
      </c>
      <c r="H56" s="146">
        <f>7.48*PI()*C$5^2*vo_recover(F56,C$29,'Layer Calcs'!B$5,'Layer Calcs'!B$6,'Layer Calcs'!B$7,'Layer Calcs'!F$5,'Layer Calcs'!F$6,'Layer Calcs'!F$7)</f>
        <v>4983.64018025768</v>
      </c>
      <c r="I56" s="145">
        <f>IF((C$30+C$31)&gt;0,('Data Entry'!C$17*F56/C$6)*(1440/7.48)*(F$5/F$6+0.018*I$8/(I$7*I$6)),PI()*(1-'Data Entry'!C$17)*'Data Entry'!C$17*C$7*F56^2/(C$6*LN(C$5/C$8)))*kro_b(F56,'Layer Calcs'!B$5,'Layer Calcs'!B$6,'Layer Calcs'!G$6,'Layer Calcs'!G$7,'Layer Calcs'!H$5,'Layer Calcs'!H$6,'Layer Calcs'!H$7)*7.48</f>
        <v>0.533666646115519</v>
      </c>
    </row>
    <row r="57" spans="2:9" ht="12.75">
      <c r="B57" s="114">
        <v>19</v>
      </c>
      <c r="C57" s="146">
        <f t="shared" si="1"/>
        <v>7.150059846097309</v>
      </c>
      <c r="E57" s="148">
        <f t="shared" si="0"/>
        <v>2609.771843825518</v>
      </c>
      <c r="F57" s="147">
        <f>bot(E57,365*C$33,365*C$34,'Layer Calcs'!B$5,'Layer Calcs'!B$6,'Layer Calcs'!B$7,'Layer Calcs'!F$5,'Layer Calcs'!F$6,'Layer Calcs'!F$7,'Layer Calcs'!G$6,'Layer Calcs'!G$7,'Layer Calcs'!H$5,'Layer Calcs'!H$6,'Layer Calcs'!H$7,Well!C$29,Well!C$30,Well!C$31,Well!C$32)</f>
        <v>1.1251428222656248</v>
      </c>
      <c r="H57" s="146">
        <f>7.48*PI()*C$5^2*vo_recover(F57,C$29,'Layer Calcs'!B$5,'Layer Calcs'!B$6,'Layer Calcs'!B$7,'Layer Calcs'!F$5,'Layer Calcs'!F$6,'Layer Calcs'!F$7)</f>
        <v>5126.790679541908</v>
      </c>
      <c r="I57" s="145">
        <f>IF((C$30+C$31)&gt;0,('Data Entry'!C$17*F57/C$6)*(1440/7.48)*(F$5/F$6+0.018*I$8/(I$7*I$6)),PI()*(1-'Data Entry'!C$17)*'Data Entry'!C$17*C$7*F57^2/(C$6*LN(C$5/C$8)))*kro_b(F57,'Layer Calcs'!B$5,'Layer Calcs'!B$6,'Layer Calcs'!G$6,'Layer Calcs'!G$7,'Layer Calcs'!H$5,'Layer Calcs'!H$6,'Layer Calcs'!H$7)*7.48</f>
        <v>0.45690671739222427</v>
      </c>
    </row>
    <row r="58" spans="2:9" ht="12.75">
      <c r="B58" s="114">
        <v>20</v>
      </c>
      <c r="C58" s="146">
        <f t="shared" si="1"/>
        <v>7.944510940108122</v>
      </c>
      <c r="E58" s="148">
        <f t="shared" si="0"/>
        <v>2899.7464931394647</v>
      </c>
      <c r="F58" s="147">
        <f>bot(E58,365*C$33,365*C$34,'Layer Calcs'!B$5,'Layer Calcs'!B$6,'Layer Calcs'!B$7,'Layer Calcs'!F$5,'Layer Calcs'!F$6,'Layer Calcs'!F$7,'Layer Calcs'!G$6,'Layer Calcs'!G$7,'Layer Calcs'!H$5,'Layer Calcs'!H$6,'Layer Calcs'!H$7,Well!C$29,Well!C$30,Well!C$31,Well!C$32)</f>
        <v>1.0800009155273438</v>
      </c>
      <c r="H58" s="146">
        <f>7.48*PI()*C$5^2*vo_recover(F58,C$29,'Layer Calcs'!B$5,'Layer Calcs'!B$6,'Layer Calcs'!B$7,'Layer Calcs'!F$5,'Layer Calcs'!F$6,'Layer Calcs'!F$7)</f>
        <v>5250.2310724801255</v>
      </c>
      <c r="I58" s="145">
        <f>IF((C$30+C$31)&gt;0,('Data Entry'!C$17*F58/C$6)*(1440/7.48)*(F$5/F$6+0.018*I$8/(I$7*I$6)),PI()*(1-'Data Entry'!C$17)*'Data Entry'!C$17*C$7*F58^2/(C$6*LN(C$5/C$8)))*kro_b(F58,'Layer Calcs'!B$5,'Layer Calcs'!B$6,'Layer Calcs'!G$6,'Layer Calcs'!G$7,'Layer Calcs'!H$5,'Layer Calcs'!H$6,'Layer Calcs'!H$7)*7.48</f>
        <v>0.39685588254517024</v>
      </c>
    </row>
    <row r="59" spans="2:9" ht="12.75">
      <c r="B59" s="114">
        <v>21</v>
      </c>
      <c r="C59" s="146">
        <f t="shared" si="1"/>
        <v>10.15005984609731</v>
      </c>
      <c r="E59" s="148">
        <f t="shared" si="0"/>
        <v>3704.7718438255183</v>
      </c>
      <c r="F59" s="147">
        <f>bot(E59,365*C$33,365*C$34,'Layer Calcs'!B$5,'Layer Calcs'!B$6,'Layer Calcs'!B$7,'Layer Calcs'!F$5,'Layer Calcs'!F$6,'Layer Calcs'!F$7,'Layer Calcs'!G$6,'Layer Calcs'!G$7,'Layer Calcs'!H$5,'Layer Calcs'!H$6,'Layer Calcs'!H$7,Well!C$29,Well!C$30,Well!C$31,Well!C$32)</f>
        <v>0.9328916931152346</v>
      </c>
      <c r="H59" s="146">
        <f>7.48*PI()*C$5^2*vo_recover(F59,C$29,'Layer Calcs'!B$5,'Layer Calcs'!B$6,'Layer Calcs'!B$7,'Layer Calcs'!F$5,'Layer Calcs'!F$6,'Layer Calcs'!F$7)</f>
        <v>5500.078512550596</v>
      </c>
      <c r="I59" s="145">
        <f>IF((C$30+C$31)&gt;0,('Data Entry'!C$17*F59/C$6)*(1440/7.48)*(F$5/F$6+0.018*I$8/(I$7*I$6)),PI()*(1-'Data Entry'!C$17)*'Data Entry'!C$17*C$7*F59^2/(C$6*LN(C$5/C$8)))*kro_b(F59,'Layer Calcs'!B$5,'Layer Calcs'!B$6,'Layer Calcs'!G$6,'Layer Calcs'!G$7,'Layer Calcs'!H$5,'Layer Calcs'!H$6,'Layer Calcs'!H$7)*7.48</f>
        <v>0.2442494355580673</v>
      </c>
    </row>
    <row r="60" spans="2:9" ht="12.75">
      <c r="B60" s="114">
        <v>22</v>
      </c>
      <c r="C60" s="146">
        <f t="shared" si="1"/>
        <v>12.355608752086496</v>
      </c>
      <c r="E60" s="148">
        <f t="shared" si="0"/>
        <v>4509.797194511571</v>
      </c>
      <c r="F60" s="147">
        <f>bot(E60,365*C$33,365*C$34,'Layer Calcs'!B$5,'Layer Calcs'!B$6,'Layer Calcs'!B$7,'Layer Calcs'!F$5,'Layer Calcs'!F$6,'Layer Calcs'!F$7,'Layer Calcs'!G$6,'Layer Calcs'!G$7,'Layer Calcs'!H$5,'Layer Calcs'!H$6,'Layer Calcs'!H$7,Well!C$29,Well!C$30,Well!C$31,Well!C$32)</f>
        <v>0.8367020416259767</v>
      </c>
      <c r="H60" s="146">
        <f>7.48*PI()*C$5^2*vo_recover(F60,C$29,'Layer Calcs'!B$5,'Layer Calcs'!B$6,'Layer Calcs'!B$7,'Layer Calcs'!F$5,'Layer Calcs'!F$6,'Layer Calcs'!F$7)</f>
        <v>5663.444524187678</v>
      </c>
      <c r="I60" s="145">
        <f>IF((C$30+C$31)&gt;0,('Data Entry'!C$17*F60/C$6)*(1440/7.48)*(F$5/F$6+0.018*I$8/(I$7*I$6)),PI()*(1-'Data Entry'!C$17)*'Data Entry'!C$17*C$7*F60^2/(C$6*LN(C$5/C$8)))*kro_b(F60,'Layer Calcs'!B$5,'Layer Calcs'!B$6,'Layer Calcs'!G$6,'Layer Calcs'!G$7,'Layer Calcs'!H$5,'Layer Calcs'!H$6,'Layer Calcs'!H$7)*7.48</f>
        <v>0.16920214792651386</v>
      </c>
    </row>
    <row r="61" spans="2:9" ht="12.75">
      <c r="B61" s="114">
        <v>23</v>
      </c>
      <c r="C61" s="146">
        <f t="shared" si="1"/>
        <v>14.561157658075686</v>
      </c>
      <c r="E61" s="148">
        <f t="shared" si="0"/>
        <v>5314.822545197625</v>
      </c>
      <c r="F61" s="147">
        <f>bot(E61,365*C$33,365*C$34,'Layer Calcs'!B$5,'Layer Calcs'!B$6,'Layer Calcs'!B$7,'Layer Calcs'!F$5,'Layer Calcs'!F$6,'Layer Calcs'!F$7,'Layer Calcs'!G$6,'Layer Calcs'!G$7,'Layer Calcs'!H$5,'Layer Calcs'!H$6,'Layer Calcs'!H$7,Well!C$29,Well!C$30,Well!C$31,Well!C$32)</f>
        <v>0.7675955200195315</v>
      </c>
      <c r="H61" s="146">
        <f>7.48*PI()*C$5^2*vo_recover(F61,C$29,'Layer Calcs'!B$5,'Layer Calcs'!B$6,'Layer Calcs'!B$7,'Layer Calcs'!F$5,'Layer Calcs'!F$6,'Layer Calcs'!F$7)</f>
        <v>5780.813249805918</v>
      </c>
      <c r="I61" s="145">
        <f>IF((C$30+C$31)&gt;0,('Data Entry'!C$17*F61/C$6)*(1440/7.48)*(F$5/F$6+0.018*I$8/(I$7*I$6)),PI()*(1-'Data Entry'!C$17)*'Data Entry'!C$17*C$7*F61^2/(C$6*LN(C$5/C$8)))*kro_b(F61,'Layer Calcs'!B$5,'Layer Calcs'!B$6,'Layer Calcs'!G$6,'Layer Calcs'!G$7,'Layer Calcs'!H$5,'Layer Calcs'!H$6,'Layer Calcs'!H$7)*7.48</f>
        <v>0.12591385733308755</v>
      </c>
    </row>
    <row r="62" spans="2:9" ht="12.75">
      <c r="B62" s="114">
        <v>24</v>
      </c>
      <c r="C62" s="146">
        <f t="shared" si="1"/>
        <v>16.766706564064872</v>
      </c>
      <c r="E62" s="148">
        <f t="shared" si="0"/>
        <v>6119.847895883679</v>
      </c>
      <c r="F62" s="147">
        <f>bot(E62,365*C$33,365*C$34,'Layer Calcs'!B$5,'Layer Calcs'!B$6,'Layer Calcs'!B$7,'Layer Calcs'!F$5,'Layer Calcs'!F$6,'Layer Calcs'!F$7,'Layer Calcs'!G$6,'Layer Calcs'!G$7,'Layer Calcs'!H$5,'Layer Calcs'!H$6,'Layer Calcs'!H$7,Well!C$29,Well!C$30,Well!C$31,Well!C$32)</f>
        <v>0.7149000549316408</v>
      </c>
      <c r="H62" s="146">
        <f>7.48*PI()*C$5^2*vo_recover(F62,C$29,'Layer Calcs'!B$5,'Layer Calcs'!B$6,'Layer Calcs'!B$7,'Layer Calcs'!F$5,'Layer Calcs'!F$6,'Layer Calcs'!F$7)</f>
        <v>5870.309862273957</v>
      </c>
      <c r="I62" s="145">
        <f>IF((C$30+C$31)&gt;0,('Data Entry'!C$17*F62/C$6)*(1440/7.48)*(F$5/F$6+0.018*I$8/(I$7*I$6)),PI()*(1-'Data Entry'!C$17)*'Data Entry'!C$17*C$7*F62^2/(C$6*LN(C$5/C$8)))*kro_b(F62,'Layer Calcs'!B$5,'Layer Calcs'!B$6,'Layer Calcs'!G$6,'Layer Calcs'!G$7,'Layer Calcs'!H$5,'Layer Calcs'!H$6,'Layer Calcs'!H$7)*7.48</f>
        <v>0.09831081281474577</v>
      </c>
    </row>
    <row r="63" spans="2:9" ht="12.75">
      <c r="B63" s="114">
        <v>25</v>
      </c>
      <c r="C63" s="146">
        <f t="shared" si="1"/>
        <v>18.97225547005406</v>
      </c>
      <c r="E63" s="148">
        <f t="shared" si="0"/>
        <v>6924.873246569731</v>
      </c>
      <c r="F63" s="147">
        <f>bot(E63,365*C$33,365*C$34,'Layer Calcs'!B$5,'Layer Calcs'!B$6,'Layer Calcs'!B$7,'Layer Calcs'!F$5,'Layer Calcs'!F$6,'Layer Calcs'!F$7,'Layer Calcs'!G$6,'Layer Calcs'!G$7,'Layer Calcs'!H$5,'Layer Calcs'!H$6,'Layer Calcs'!H$7,Well!C$29,Well!C$30,Well!C$31,Well!C$32)</f>
        <v>0.6730320739746093</v>
      </c>
      <c r="H63" s="146">
        <f>7.48*PI()*C$5^2*vo_recover(F63,C$29,'Layer Calcs'!B$5,'Layer Calcs'!B$6,'Layer Calcs'!B$7,'Layer Calcs'!F$5,'Layer Calcs'!F$6,'Layer Calcs'!F$7)</f>
        <v>5941.41735625434</v>
      </c>
      <c r="I63" s="145">
        <f>IF((C$30+C$31)&gt;0,('Data Entry'!C$17*F63/C$6)*(1440/7.48)*(F$5/F$6+0.018*I$8/(I$7*I$6)),PI()*(1-'Data Entry'!C$17)*'Data Entry'!C$17*C$7*F63^2/(C$6*LN(C$5/C$8)))*kro_b(F63,'Layer Calcs'!B$5,'Layer Calcs'!B$6,'Layer Calcs'!G$6,'Layer Calcs'!G$7,'Layer Calcs'!H$5,'Layer Calcs'!H$6,'Layer Calcs'!H$7)*7.48</f>
        <v>0.07945126320408384</v>
      </c>
    </row>
    <row r="64" spans="2:9" ht="12.75">
      <c r="B64" s="114">
        <v>26</v>
      </c>
      <c r="C64" s="146">
        <f t="shared" si="1"/>
        <v>21.177804376043248</v>
      </c>
      <c r="E64" s="148">
        <f t="shared" si="0"/>
        <v>7729.898597255786</v>
      </c>
      <c r="F64" s="147">
        <f>bot(E64,365*C$33,365*C$34,'Layer Calcs'!B$5,'Layer Calcs'!B$6,'Layer Calcs'!B$7,'Layer Calcs'!F$5,'Layer Calcs'!F$6,'Layer Calcs'!F$7,'Layer Calcs'!G$6,'Layer Calcs'!G$7,'Layer Calcs'!H$5,'Layer Calcs'!H$6,'Layer Calcs'!H$7,Well!C$29,Well!C$30,Well!C$31,Well!C$32)</f>
        <v>0.6387495803833008</v>
      </c>
      <c r="H64" s="146">
        <f>7.48*PI()*C$5^2*vo_recover(F64,C$29,'Layer Calcs'!B$5,'Layer Calcs'!B$6,'Layer Calcs'!B$7,'Layer Calcs'!F$5,'Layer Calcs'!F$6,'Layer Calcs'!F$7)</f>
        <v>5999.641855046825</v>
      </c>
      <c r="I64" s="145">
        <f>IF((C$30+C$31)&gt;0,('Data Entry'!C$17*F64/C$6)*(1440/7.48)*(F$5/F$6+0.018*I$8/(I$7*I$6)),PI()*(1-'Data Entry'!C$17)*'Data Entry'!C$17*C$7*F64^2/(C$6*LN(C$5/C$8)))*kro_b(F64,'Layer Calcs'!B$5,'Layer Calcs'!B$6,'Layer Calcs'!G$6,'Layer Calcs'!G$7,'Layer Calcs'!H$5,'Layer Calcs'!H$6,'Layer Calcs'!H$7)*7.48</f>
        <v>0.0658978894939727</v>
      </c>
    </row>
    <row r="65" spans="2:9" ht="12.75">
      <c r="B65" s="114">
        <v>27</v>
      </c>
      <c r="C65" s="146">
        <f t="shared" si="1"/>
        <v>23.383353282032438</v>
      </c>
      <c r="E65" s="148">
        <f t="shared" si="0"/>
        <v>8534.92394794184</v>
      </c>
      <c r="F65" s="147">
        <f>bot(E65,365*C$33,365*C$34,'Layer Calcs'!B$5,'Layer Calcs'!B$6,'Layer Calcs'!B$7,'Layer Calcs'!F$5,'Layer Calcs'!F$6,'Layer Calcs'!F$7,'Layer Calcs'!G$6,'Layer Calcs'!G$7,'Layer Calcs'!H$5,'Layer Calcs'!H$6,'Layer Calcs'!H$7,Well!C$29,Well!C$30,Well!C$31,Well!C$32)</f>
        <v>0.6100234222412109</v>
      </c>
      <c r="H65" s="146">
        <f>7.48*PI()*C$5^2*vo_recover(F65,C$29,'Layer Calcs'!B$5,'Layer Calcs'!B$6,'Layer Calcs'!B$7,'Layer Calcs'!F$5,'Layer Calcs'!F$6,'Layer Calcs'!F$7)</f>
        <v>6048.429617687315</v>
      </c>
      <c r="I65" s="145">
        <f>IF((C$30+C$31)&gt;0,('Data Entry'!C$17*F65/C$6)*(1440/7.48)*(F$5/F$6+0.018*I$8/(I$7*I$6)),PI()*(1-'Data Entry'!C$17)*'Data Entry'!C$17*C$7*F65^2/(C$6*LN(C$5/C$8)))*kro_b(F65,'Layer Calcs'!B$5,'Layer Calcs'!B$6,'Layer Calcs'!G$6,'Layer Calcs'!G$7,'Layer Calcs'!H$5,'Layer Calcs'!H$6,'Layer Calcs'!H$7)*7.48</f>
        <v>0.05577415819715688</v>
      </c>
    </row>
    <row r="66" spans="2:9" ht="12.75">
      <c r="B66" s="114">
        <v>28</v>
      </c>
      <c r="C66" s="146">
        <f t="shared" si="1"/>
        <v>25.58890218802162</v>
      </c>
      <c r="E66" s="148">
        <f t="shared" si="0"/>
        <v>9339.949298627891</v>
      </c>
      <c r="F66" s="147">
        <f>bot(E66,365*C$33,365*C$34,'Layer Calcs'!B$5,'Layer Calcs'!B$6,'Layer Calcs'!B$7,'Layer Calcs'!F$5,'Layer Calcs'!F$6,'Layer Calcs'!F$7,'Layer Calcs'!G$6,'Layer Calcs'!G$7,'Layer Calcs'!H$5,'Layer Calcs'!H$6,'Layer Calcs'!H$7,Well!C$29,Well!C$30,Well!C$31,Well!C$32)</f>
        <v>0.5855101776123048</v>
      </c>
      <c r="H66" s="146">
        <f>7.48*PI()*C$5^2*vo_recover(F66,C$29,'Layer Calcs'!B$5,'Layer Calcs'!B$6,'Layer Calcs'!B$7,'Layer Calcs'!F$5,'Layer Calcs'!F$6,'Layer Calcs'!F$7)</f>
        <v>6090.062277181415</v>
      </c>
      <c r="I66" s="145">
        <f>IF((C$30+C$31)&gt;0,('Data Entry'!C$17*F66/C$6)*(1440/7.48)*(F$5/F$6+0.018*I$8/(I$7*I$6)),PI()*(1-'Data Entry'!C$17)*'Data Entry'!C$17*C$7*F66^2/(C$6*LN(C$5/C$8)))*kro_b(F66,'Layer Calcs'!B$5,'Layer Calcs'!B$6,'Layer Calcs'!G$6,'Layer Calcs'!G$7,'Layer Calcs'!H$5,'Layer Calcs'!H$6,'Layer Calcs'!H$7)*7.48</f>
        <v>0.04797790665782665</v>
      </c>
    </row>
    <row r="67" spans="2:9" ht="12.75">
      <c r="B67" s="114">
        <v>29</v>
      </c>
      <c r="C67" s="146">
        <f t="shared" si="1"/>
        <v>27.79445109401081</v>
      </c>
      <c r="E67" s="148">
        <f t="shared" si="0"/>
        <v>10144.974649313946</v>
      </c>
      <c r="F67" s="147">
        <f>bot(E67,365*C$33,365*C$34,'Layer Calcs'!B$5,'Layer Calcs'!B$6,'Layer Calcs'!B$7,'Layer Calcs'!F$5,'Layer Calcs'!F$6,'Layer Calcs'!F$7,'Layer Calcs'!G$6,'Layer Calcs'!G$7,'Layer Calcs'!H$5,'Layer Calcs'!H$6,'Layer Calcs'!H$7,Well!C$29,Well!C$30,Well!C$31,Well!C$32)</f>
        <v>0.5642821884155274</v>
      </c>
      <c r="H67" s="146">
        <f>7.48*PI()*C$5^2*vo_recover(F67,C$29,'Layer Calcs'!B$5,'Layer Calcs'!B$6,'Layer Calcs'!B$7,'Layer Calcs'!F$5,'Layer Calcs'!F$6,'Layer Calcs'!F$7)</f>
        <v>6126.11534397665</v>
      </c>
      <c r="I67" s="145">
        <f>IF((C$30+C$31)&gt;0,('Data Entry'!C$17*F67/C$6)*(1440/7.48)*(F$5/F$6+0.018*I$8/(I$7*I$6)),PI()*(1-'Data Entry'!C$17)*'Data Entry'!C$17*C$7*F67^2/(C$6*LN(C$5/C$8)))*kro_b(F67,'Layer Calcs'!B$5,'Layer Calcs'!B$6,'Layer Calcs'!G$6,'Layer Calcs'!G$7,'Layer Calcs'!H$5,'Layer Calcs'!H$6,'Layer Calcs'!H$7)*7.48</f>
        <v>0.041824242931217316</v>
      </c>
    </row>
    <row r="68" spans="2:9" ht="12.75">
      <c r="B68" s="114">
        <v>30</v>
      </c>
      <c r="C68" s="146">
        <f t="shared" si="1"/>
        <v>30</v>
      </c>
      <c r="E68" s="148">
        <f t="shared" si="0"/>
        <v>10950</v>
      </c>
      <c r="F68" s="147">
        <f>bot(E68,365*C$33,365*C$34,'Layer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68" s="146">
        <f>7.48*PI()*C$5^2*vo_recover(F68,C$29,'Layer Calcs'!B$5,'Layer Calcs'!B$6,'Layer Calcs'!B$7,'Layer Calcs'!F$5,'Layer Calcs'!F$6,'Layer Calcs'!F$7)</f>
        <v>6157.720791037042</v>
      </c>
      <c r="I68" s="145">
        <f>IF((C$30+C$31)&gt;0,('Data Entry'!C$17*F68/C$6)*(1440/7.48)*(F$5/F$6+0.018*I$8/(I$7*I$6)),PI()*(1-'Data Entry'!C$17)*'Data Entry'!C$17*C$7*F68^2/(C$6*LN(C$5/C$8)))*kro_b(F68,'Layer Calcs'!B$5,'Layer Calcs'!B$6,'Layer Calcs'!G$6,'Layer Calcs'!G$7,'Layer Calcs'!H$5,'Layer Calcs'!H$6,'Layer Calcs'!H$7)*7.48</f>
        <v>0.036866755626033296</v>
      </c>
    </row>
    <row r="69" spans="2:9" ht="12.75">
      <c r="B69" s="114">
        <v>31</v>
      </c>
      <c r="C69" s="146">
        <f t="shared" si="1"/>
        <v>30</v>
      </c>
      <c r="E69" s="148">
        <f t="shared" si="0"/>
        <v>10950</v>
      </c>
      <c r="F69" s="147">
        <f>bot(E69,365*C$33,365*C$34,'Layer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69" s="146">
        <f>7.48*PI()*C$5^2*vo_recover(F69,C$29,'Layer Calcs'!B$5,'Layer Calcs'!B$6,'Layer Calcs'!B$7,'Layer Calcs'!F$5,'Layer Calcs'!F$6,'Layer Calcs'!F$7)</f>
        <v>6157.720791037042</v>
      </c>
      <c r="I69" s="145">
        <f>IF((C$30+C$31)&gt;0,('Data Entry'!C$17*F69/C$6)*(1440/7.48)*(F$5/F$6+0.018*I$8/(I$7*I$6)),PI()*(1-'Data Entry'!C$17)*'Data Entry'!C$17*C$7*F69^2/(C$6*LN(C$5/C$8)))*kro_b(F69,'Layer Calcs'!B$5,'Layer Calcs'!B$6,'Layer Calcs'!G$6,'Layer Calcs'!G$7,'Layer Calcs'!H$5,'Layer Calcs'!H$6,'Layer Calcs'!H$7)*7.48</f>
        <v>0.036866755626033296</v>
      </c>
    </row>
    <row r="70" spans="2:9" ht="12.75">
      <c r="B70" s="114">
        <v>32</v>
      </c>
      <c r="C70" s="146">
        <f t="shared" si="1"/>
        <v>30</v>
      </c>
      <c r="E70" s="148">
        <f t="shared" si="0"/>
        <v>10950</v>
      </c>
      <c r="F70" s="147">
        <f>bot(E70,365*C$33,365*C$34,'Layer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0" s="146">
        <f>7.48*PI()*C$5^2*vo_recover(F70,C$29,'Layer Calcs'!B$5,'Layer Calcs'!B$6,'Layer Calcs'!B$7,'Layer Calcs'!F$5,'Layer Calcs'!F$6,'Layer Calcs'!F$7)</f>
        <v>6157.720791037042</v>
      </c>
      <c r="I70" s="145">
        <f>IF((C$30+C$31)&gt;0,('Data Entry'!C$17*F70/C$6)*(1440/7.48)*(F$5/F$6+0.018*I$8/(I$7*I$6)),PI()*(1-'Data Entry'!C$17)*'Data Entry'!C$17*C$7*F70^2/(C$6*LN(C$5/C$8)))*kro_b(F70,'Layer Calcs'!B$5,'Layer Calcs'!B$6,'Layer Calcs'!G$6,'Layer Calcs'!G$7,'Layer Calcs'!H$5,'Layer Calcs'!H$6,'Layer Calcs'!H$7)*7.48</f>
        <v>0.036866755626033296</v>
      </c>
    </row>
    <row r="71" spans="2:9" ht="12.75">
      <c r="B71" s="114">
        <v>33</v>
      </c>
      <c r="C71" s="146">
        <f t="shared" si="1"/>
        <v>30</v>
      </c>
      <c r="E71" s="148">
        <f t="shared" si="0"/>
        <v>10950</v>
      </c>
      <c r="F71" s="147">
        <f>bot(E71,365*C$33,365*C$34,'Layer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1" s="146">
        <f>7.48*PI()*C$5^2*vo_recover(F71,C$29,'Layer Calcs'!B$5,'Layer Calcs'!B$6,'Layer Calcs'!B$7,'Layer Calcs'!F$5,'Layer Calcs'!F$6,'Layer Calcs'!F$7)</f>
        <v>6157.720791037042</v>
      </c>
      <c r="I71" s="145">
        <f>IF((C$30+C$31)&gt;0,('Data Entry'!C$17*F71/C$6)*(1440/7.48)*(F$5/F$6+0.018*I$8/(I$7*I$6)),PI()*(1-'Data Entry'!C$17)*'Data Entry'!C$17*C$7*F71^2/(C$6*LN(C$5/C$8)))*kro_b(F71,'Layer Calcs'!B$5,'Layer Calcs'!B$6,'Layer Calcs'!G$6,'Layer Calcs'!G$7,'Layer Calcs'!H$5,'Layer Calcs'!H$6,'Layer Calcs'!H$7)*7.48</f>
        <v>0.036866755626033296</v>
      </c>
    </row>
    <row r="72" spans="2:9" ht="12.75">
      <c r="B72" s="114">
        <v>34</v>
      </c>
      <c r="C72" s="146">
        <f t="shared" si="1"/>
        <v>30</v>
      </c>
      <c r="E72" s="148">
        <f t="shared" si="0"/>
        <v>10950</v>
      </c>
      <c r="F72" s="147">
        <f>bot(E72,365*C$33,365*C$34,'Layer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2" s="146">
        <f>7.48*PI()*C$5^2*vo_recover(F72,C$29,'Layer Calcs'!B$5,'Layer Calcs'!B$6,'Layer Calcs'!B$7,'Layer Calcs'!F$5,'Layer Calcs'!F$6,'Layer Calcs'!F$7)</f>
        <v>6157.720791037042</v>
      </c>
      <c r="I72" s="145">
        <f>IF((C$30+C$31)&gt;0,('Data Entry'!C$17*F72/C$6)*(1440/7.48)*(F$5/F$6+0.018*I$8/(I$7*I$6)),PI()*(1-'Data Entry'!C$17)*'Data Entry'!C$17*C$7*F72^2/(C$6*LN(C$5/C$8)))*kro_b(F72,'Layer Calcs'!B$5,'Layer Calcs'!B$6,'Layer Calcs'!G$6,'Layer Calcs'!G$7,'Layer Calcs'!H$5,'Layer Calcs'!H$6,'Layer Calcs'!H$7)*7.48</f>
        <v>0.036866755626033296</v>
      </c>
    </row>
    <row r="73" spans="2:9" ht="12.75">
      <c r="B73" s="114">
        <v>35</v>
      </c>
      <c r="C73" s="146">
        <f t="shared" si="1"/>
        <v>30</v>
      </c>
      <c r="E73" s="148">
        <f t="shared" si="0"/>
        <v>10950</v>
      </c>
      <c r="F73" s="147">
        <f>bot(E73,365*C$33,365*C$34,'Layer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3" s="146">
        <f>7.48*PI()*C$5^2*vo_recover(F73,C$29,'Layer Calcs'!B$5,'Layer Calcs'!B$6,'Layer Calcs'!B$7,'Layer Calcs'!F$5,'Layer Calcs'!F$6,'Layer Calcs'!F$7)</f>
        <v>6157.720791037042</v>
      </c>
      <c r="I73" s="145">
        <f>IF((C$30+C$31)&gt;0,('Data Entry'!C$17*F73/C$6)*(1440/7.48)*(F$5/F$6+0.018*I$8/(I$7*I$6)),PI()*(1-'Data Entry'!C$17)*'Data Entry'!C$17*C$7*F73^2/(C$6*LN(C$5/C$8)))*kro_b(F73,'Layer Calcs'!B$5,'Layer Calcs'!B$6,'Layer Calcs'!G$6,'Layer Calcs'!G$7,'Layer Calcs'!H$5,'Layer Calcs'!H$6,'Layer Calcs'!H$7)*7.48</f>
        <v>0.036866755626033296</v>
      </c>
    </row>
    <row r="74" spans="2:9" ht="12.75">
      <c r="B74" s="114">
        <v>36</v>
      </c>
      <c r="C74" s="146">
        <f t="shared" si="1"/>
        <v>30</v>
      </c>
      <c r="E74" s="148">
        <f t="shared" si="0"/>
        <v>10950</v>
      </c>
      <c r="F74" s="147">
        <f>bot(E74,365*C$33,365*C$34,'Layer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4" s="146">
        <f>7.48*PI()*C$5^2*vo_recover(F74,C$29,'Layer Calcs'!B$5,'Layer Calcs'!B$6,'Layer Calcs'!B$7,'Layer Calcs'!F$5,'Layer Calcs'!F$6,'Layer Calcs'!F$7)</f>
        <v>6157.720791037042</v>
      </c>
      <c r="I74" s="145">
        <f>IF((C$30+C$31)&gt;0,('Data Entry'!C$17*F74/C$6)*(1440/7.48)*(F$5/F$6+0.018*I$8/(I$7*I$6)),PI()*(1-'Data Entry'!C$17)*'Data Entry'!C$17*C$7*F74^2/(C$6*LN(C$5/C$8)))*kro_b(F74,'Layer Calcs'!B$5,'Layer Calcs'!B$6,'Layer Calcs'!G$6,'Layer Calcs'!G$7,'Layer Calcs'!H$5,'Layer Calcs'!H$6,'Layer Calcs'!H$7)*7.48</f>
        <v>0.036866755626033296</v>
      </c>
    </row>
    <row r="75" spans="2:9" ht="12.75">
      <c r="B75" s="114">
        <v>37</v>
      </c>
      <c r="C75" s="146">
        <f t="shared" si="1"/>
        <v>30</v>
      </c>
      <c r="E75" s="148">
        <f t="shared" si="0"/>
        <v>10950</v>
      </c>
      <c r="F75" s="147">
        <f>bot(E75,365*C$33,365*C$34,'Layer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5" s="146">
        <f>7.48*PI()*C$5^2*vo_recover(F75,C$29,'Layer Calcs'!B$5,'Layer Calcs'!B$6,'Layer Calcs'!B$7,'Layer Calcs'!F$5,'Layer Calcs'!F$6,'Layer Calcs'!F$7)</f>
        <v>6157.720791037042</v>
      </c>
      <c r="I75" s="145">
        <f>IF((C$30+C$31)&gt;0,('Data Entry'!C$17*F75/C$6)*(1440/7.48)*(F$5/F$6+0.018*I$8/(I$7*I$6)),PI()*(1-'Data Entry'!C$17)*'Data Entry'!C$17*C$7*F75^2/(C$6*LN(C$5/C$8)))*kro_b(F75,'Layer Calcs'!B$5,'Layer Calcs'!B$6,'Layer Calcs'!G$6,'Layer Calcs'!G$7,'Layer Calcs'!H$5,'Layer Calcs'!H$6,'Layer Calcs'!H$7)*7.48</f>
        <v>0.036866755626033296</v>
      </c>
    </row>
    <row r="76" spans="2:9" ht="12.75">
      <c r="B76" s="114">
        <v>38</v>
      </c>
      <c r="C76" s="146">
        <f t="shared" si="1"/>
        <v>30</v>
      </c>
      <c r="E76" s="148">
        <f t="shared" si="0"/>
        <v>10950</v>
      </c>
      <c r="F76" s="147">
        <f>bot(E76,365*C$33,365*C$34,'Layer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6" s="146">
        <f>7.48*PI()*C$5^2*vo_recover(F76,C$29,'Layer Calcs'!B$5,'Layer Calcs'!B$6,'Layer Calcs'!B$7,'Layer Calcs'!F$5,'Layer Calcs'!F$6,'Layer Calcs'!F$7)</f>
        <v>6157.720791037042</v>
      </c>
      <c r="I76" s="145">
        <f>IF((C$30+C$31)&gt;0,('Data Entry'!C$17*F76/C$6)*(1440/7.48)*(F$5/F$6+0.018*I$8/(I$7*I$6)),PI()*(1-'Data Entry'!C$17)*'Data Entry'!C$17*C$7*F76^2/(C$6*LN(C$5/C$8)))*kro_b(F76,'Layer Calcs'!B$5,'Layer Calcs'!B$6,'Layer Calcs'!G$6,'Layer Calcs'!G$7,'Layer Calcs'!H$5,'Layer Calcs'!H$6,'Layer Calcs'!H$7)*7.48</f>
        <v>0.036866755626033296</v>
      </c>
    </row>
    <row r="77" spans="2:9" ht="12.75">
      <c r="B77" s="114">
        <v>39</v>
      </c>
      <c r="C77" s="146">
        <f t="shared" si="1"/>
        <v>30</v>
      </c>
      <c r="E77" s="148">
        <f t="shared" si="0"/>
        <v>10950</v>
      </c>
      <c r="F77" s="147">
        <f>bot(E77,365*C$33,365*C$34,'Layer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7" s="146">
        <f>7.48*PI()*C$5^2*vo_recover(F77,C$29,'Layer Calcs'!B$5,'Layer Calcs'!B$6,'Layer Calcs'!B$7,'Layer Calcs'!F$5,'Layer Calcs'!F$6,'Layer Calcs'!F$7)</f>
        <v>6157.720791037042</v>
      </c>
      <c r="I77" s="145">
        <f>IF((C$30+C$31)&gt;0,('Data Entry'!C$17*F77/C$6)*(1440/7.48)*(F$5/F$6+0.018*I$8/(I$7*I$6)),PI()*(1-'Data Entry'!C$17)*'Data Entry'!C$17*C$7*F77^2/(C$6*LN(C$5/C$8)))*kro_b(F77,'Layer Calcs'!B$5,'Layer Calcs'!B$6,'Layer Calcs'!G$6,'Layer Calcs'!G$7,'Layer Calcs'!H$5,'Layer Calcs'!H$6,'Layer Calcs'!H$7)*7.48</f>
        <v>0.036866755626033296</v>
      </c>
    </row>
    <row r="78" spans="2:9" ht="12.75">
      <c r="B78" s="114">
        <v>40</v>
      </c>
      <c r="C78" s="146">
        <f t="shared" si="1"/>
        <v>30</v>
      </c>
      <c r="E78" s="148">
        <f t="shared" si="0"/>
        <v>10950</v>
      </c>
      <c r="F78" s="147">
        <f>bot(E78,365*C$33,365*C$34,'Layer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8" s="146">
        <f>7.48*PI()*C$5^2*vo_recover(F78,C$29,'Layer Calcs'!B$5,'Layer Calcs'!B$6,'Layer Calcs'!B$7,'Layer Calcs'!F$5,'Layer Calcs'!F$6,'Layer Calcs'!F$7)</f>
        <v>6157.720791037042</v>
      </c>
      <c r="I78" s="145">
        <f>IF((C$30+C$31)&gt;0,('Data Entry'!C$17*F78/C$6)*(1440/7.48)*(F$5/F$6+0.018*I$8/(I$7*I$6)),PI()*(1-'Data Entry'!C$17)*'Data Entry'!C$17*C$7*F78^2/(C$6*LN(C$5/C$8)))*kro_b(F78,'Layer Calcs'!B$5,'Layer Calcs'!B$6,'Layer Calcs'!G$6,'Layer Calcs'!G$7,'Layer Calcs'!H$5,'Layer Calcs'!H$6,'Layer Calcs'!H$7)*7.48</f>
        <v>0.036866755626033296</v>
      </c>
    </row>
    <row r="79" spans="2:9" ht="12.75">
      <c r="B79" s="114"/>
      <c r="C79" s="146"/>
      <c r="E79" s="148"/>
      <c r="F79" s="147"/>
      <c r="H79" s="146"/>
      <c r="I79" s="145"/>
    </row>
    <row r="80" spans="2:9" ht="12.75">
      <c r="B80" s="114"/>
      <c r="C80" s="146"/>
      <c r="E80" s="148"/>
      <c r="F80" s="147"/>
      <c r="H80" s="146"/>
      <c r="I80" s="145"/>
    </row>
    <row r="81" spans="2:6" ht="12.75">
      <c r="B81" s="114"/>
      <c r="C81" s="114"/>
      <c r="D81" s="114"/>
      <c r="E81" s="114"/>
      <c r="F81" s="114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R79"/>
  <sheetViews>
    <sheetView workbookViewId="0" topLeftCell="A1">
      <selection activeCell="D5" sqref="D5"/>
    </sheetView>
  </sheetViews>
  <sheetFormatPr defaultColWidth="9.140625" defaultRowHeight="12.75"/>
  <cols>
    <col min="1" max="1" width="4.00390625" style="0" customWidth="1"/>
    <col min="2" max="2" width="11.421875" style="76" customWidth="1"/>
    <col min="3" max="6" width="12.7109375" style="76" customWidth="1"/>
    <col min="7" max="7" width="12.7109375" style="0" customWidth="1"/>
    <col min="13" max="13" width="4.140625" style="0" customWidth="1"/>
  </cols>
  <sheetData>
    <row r="1" ht="15.75">
      <c r="B1" s="149" t="s">
        <v>64</v>
      </c>
    </row>
    <row r="2" ht="12.75"/>
    <row r="3" spans="4:5" ht="15.75">
      <c r="D3" s="138" t="s">
        <v>81</v>
      </c>
      <c r="E3" s="183">
        <v>10</v>
      </c>
    </row>
    <row r="4" spans="2:5" ht="15.75">
      <c r="B4" s="150" t="s">
        <v>65</v>
      </c>
      <c r="D4" s="140" t="s">
        <v>82</v>
      </c>
      <c r="E4" s="184">
        <v>2</v>
      </c>
    </row>
    <row r="5" spans="2:5" ht="15.75">
      <c r="B5" s="151" t="s">
        <v>66</v>
      </c>
      <c r="D5" s="141" t="s">
        <v>83</v>
      </c>
      <c r="E5" s="184">
        <v>2</v>
      </c>
    </row>
    <row r="6" spans="4:5" ht="15.75">
      <c r="D6" s="141" t="s">
        <v>62</v>
      </c>
      <c r="E6" s="184">
        <v>0.005</v>
      </c>
    </row>
    <row r="7" spans="4:15" ht="15.75">
      <c r="D7" s="141" t="s">
        <v>93</v>
      </c>
      <c r="E7" s="184">
        <v>15</v>
      </c>
      <c r="O7" t="s">
        <v>63</v>
      </c>
    </row>
    <row r="8" spans="4:5" ht="15.75">
      <c r="D8" s="141" t="s">
        <v>88</v>
      </c>
      <c r="E8" s="184">
        <v>75</v>
      </c>
    </row>
    <row r="9" spans="4:16" ht="15.75">
      <c r="D9" s="141" t="s">
        <v>87</v>
      </c>
      <c r="E9" s="184">
        <v>100</v>
      </c>
      <c r="O9">
        <v>0</v>
      </c>
      <c r="P9" s="145">
        <f>7.48*(E8*E9)*'Layer Calcs'!C7</f>
        <v>49012.867985722616</v>
      </c>
    </row>
    <row r="10" spans="4:16" ht="15.75">
      <c r="D10" s="142" t="s">
        <v>86</v>
      </c>
      <c r="E10" s="185">
        <v>5</v>
      </c>
      <c r="O10">
        <f>E3</f>
        <v>10</v>
      </c>
      <c r="P10" s="145">
        <f>P9</f>
        <v>49012.867985722616</v>
      </c>
    </row>
    <row r="11" ht="21.75" customHeight="1"/>
    <row r="15" spans="15:18" ht="12.75">
      <c r="O15" s="76" t="s">
        <v>46</v>
      </c>
      <c r="P15" s="76" t="s">
        <v>35</v>
      </c>
      <c r="Q15" s="76"/>
      <c r="R15" s="76"/>
    </row>
    <row r="16" spans="15:16" ht="12.75">
      <c r="O16" s="145">
        <f>IF(C26&lt;E3,C26,)</f>
        <v>1.6007928093862132</v>
      </c>
      <c r="P16" s="76">
        <f>IF(C26&lt;E3,'Layer Calcs'!B6,0)</f>
        <v>1.08</v>
      </c>
    </row>
    <row r="17" spans="15:16" ht="12.75">
      <c r="O17" s="145">
        <f>IF(C27&lt;E3,C27,O16)</f>
        <v>1.6007928093862132</v>
      </c>
      <c r="P17" s="76">
        <f>IF(O17&gt;O16,'Layer Calcs'!B5,Trench!P16)</f>
        <v>1.08</v>
      </c>
    </row>
    <row r="24" spans="2:5" ht="12.75">
      <c r="B24" s="137" t="s">
        <v>44</v>
      </c>
      <c r="C24" s="143">
        <f>'Data Entry'!C9*((1-'Data Entry'!C17)*'Data Entry'!C13+'Data Entry'!C17*'Data Entry'!C14)</f>
        <v>0.049999999999999996</v>
      </c>
      <c r="E24"/>
    </row>
    <row r="25" spans="2:3" ht="15.75">
      <c r="B25" s="76" t="s">
        <v>102</v>
      </c>
      <c r="C25" s="153">
        <f>'Data Entry'!C17*E7*(E6+(1440*E5/7.48)/(2*E7*E8*E10))/(E4*E9)</f>
        <v>0.0022063836898395723</v>
      </c>
    </row>
    <row r="26" spans="2:3" ht="15.75">
      <c r="B26" s="76" t="s">
        <v>99</v>
      </c>
      <c r="C26" s="145">
        <f>LN(('Layer Calcs'!B7-'Layer Calcs'!G7)*'Layer Calcs'!B6/(('Layer Calcs'!B6-'Layer Calcs'!G7)*'Layer Calcs'!B7))/('Layer Calcs'!G7*(Trench!C25*'Layer Calcs'!H7/('Layer Calcs'!F7-Trench!C24))*365)</f>
        <v>1.6007928093862132</v>
      </c>
    </row>
    <row r="27" spans="2:3" ht="15.75">
      <c r="B27" s="76" t="s">
        <v>103</v>
      </c>
      <c r="C27" s="152">
        <f>Trench!C26+LN(('Layer Calcs'!B6-'Layer Calcs'!G6)*'Layer Calcs'!B5/(('Layer Calcs'!B5-'Layer Calcs'!G6)*'Layer Calcs'!B6))/('Layer Calcs'!G6*(Trench!C25*'Layer Calcs'!H6/('Layer Calcs'!F6-Trench!C24))*365)</f>
        <v>63.04278468731324</v>
      </c>
    </row>
    <row r="28" spans="2:7" ht="15.75">
      <c r="B28" s="76" t="s">
        <v>45</v>
      </c>
      <c r="C28" s="76" t="s">
        <v>92</v>
      </c>
      <c r="D28" s="76" t="s">
        <v>91</v>
      </c>
      <c r="E28" s="76" t="s">
        <v>89</v>
      </c>
      <c r="F28" s="76" t="s">
        <v>101</v>
      </c>
      <c r="G28" s="76" t="s">
        <v>90</v>
      </c>
    </row>
    <row r="29" spans="2:7" ht="12.75">
      <c r="B29" s="76">
        <v>0</v>
      </c>
      <c r="C29" s="80">
        <f aca="true" t="shared" si="0" ref="C29:C69">tmrec(B29,C$27,C$26,0,E$3)</f>
        <v>0</v>
      </c>
      <c r="D29" s="144">
        <f>C29*365</f>
        <v>0</v>
      </c>
      <c r="E29" s="80">
        <f>bo_trench(D29,C$24,C$25,365*C$26,365*C$27,'Layer Calcs'!B$5,'Layer Calcs'!B$6,'Layer Calcs'!B$7,'Layer Calcs'!F$5,'Layer Calcs'!F$6,'Layer Calcs'!F$7,'Layer Calcs'!G$6,'Layer Calcs'!G$7,'Layer Calcs'!H$5,'Layer Calcs'!H$6,'Layer Calcs'!H$7)</f>
        <v>3</v>
      </c>
      <c r="F29" s="145">
        <f>7.48*E$8*E$9*vo_recover(E29,C$24,'Layer Calcs'!B$5,'Layer Calcs'!B$6,'Layer Calcs'!B$7,'Layer Calcs'!F$5,'Layer Calcs'!F$6,'Layer Calcs'!F$7)</f>
        <v>0</v>
      </c>
      <c r="G29" s="145">
        <f>7.48*E$8*E29*(E$7*'Data Entry'!C$17/E$4)*(E$6+(1440*E$5/7.48)/(2*E$7*E$8*E$10))*kro_b(E29,'Layer Calcs'!B$5,'Layer Calcs'!B$6,'Layer Calcs'!G$6,'Layer Calcs'!G$7,'Layer Calcs'!H$5,'Layer Calcs'!H$6,'Layer Calcs'!H$7)</f>
        <v>168.78740152262102</v>
      </c>
    </row>
    <row r="30" spans="2:7" ht="12.75">
      <c r="B30" s="76">
        <v>1</v>
      </c>
      <c r="C30" s="80">
        <f t="shared" si="0"/>
        <v>0</v>
      </c>
      <c r="D30" s="144">
        <f aca="true" t="shared" si="1" ref="D30:D69">C30*365</f>
        <v>0</v>
      </c>
      <c r="E30" s="80">
        <f>bo_trench(D30,C$24,C$25,365*C$26,365*C$27,'Layer Calcs'!B$5,'Layer Calcs'!B$6,'Layer Calcs'!B$7,'Layer Calcs'!F$5,'Layer Calcs'!F$6,'Layer Calcs'!F$7,'Layer Calcs'!G$6,'Layer Calcs'!G$7,'Layer Calcs'!H$5,'Layer Calcs'!H$6,'Layer Calcs'!H$7)</f>
        <v>3</v>
      </c>
      <c r="F30" s="145">
        <f>7.48*E$8*E$9*vo_recover(E30,C$24,'Layer Calcs'!B$5,'Layer Calcs'!B$6,'Layer Calcs'!B$7,'Layer Calcs'!F$5,'Layer Calcs'!F$6,'Layer Calcs'!F$7)</f>
        <v>0</v>
      </c>
      <c r="G30" s="145">
        <f>7.48*E$8*E30*(E$7*'Data Entry'!C$17/E$4)*(E$6+(1440*E$5/7.48)/(2*E$7*E$8*E$10))*kro_b(E30,'Layer Calcs'!B$5,'Layer Calcs'!B$6,'Layer Calcs'!G$6,'Layer Calcs'!G$7,'Layer Calcs'!H$5,'Layer Calcs'!H$6,'Layer Calcs'!H$7)</f>
        <v>168.78740152262102</v>
      </c>
    </row>
    <row r="31" spans="2:7" ht="12.75">
      <c r="B31" s="76">
        <v>2</v>
      </c>
      <c r="C31" s="80">
        <f t="shared" si="0"/>
        <v>0</v>
      </c>
      <c r="D31" s="144">
        <f t="shared" si="1"/>
        <v>0</v>
      </c>
      <c r="E31" s="80">
        <f>bo_trench(D31,C$24,C$25,365*C$26,365*C$27,'Layer Calcs'!B$5,'Layer Calcs'!B$6,'Layer Calcs'!B$7,'Layer Calcs'!F$5,'Layer Calcs'!F$6,'Layer Calcs'!F$7,'Layer Calcs'!G$6,'Layer Calcs'!G$7,'Layer Calcs'!H$5,'Layer Calcs'!H$6,'Layer Calcs'!H$7)</f>
        <v>3</v>
      </c>
      <c r="F31" s="145">
        <f>7.48*E$8*E$9*vo_recover(E31,C$24,'Layer Calcs'!B$5,'Layer Calcs'!B$6,'Layer Calcs'!B$7,'Layer Calcs'!F$5,'Layer Calcs'!F$6,'Layer Calcs'!F$7)</f>
        <v>0</v>
      </c>
      <c r="G31" s="145">
        <f>7.48*E$8*E31*(E$7*'Data Entry'!C$17/E$4)*(E$6+(1440*E$5/7.48)/(2*E$7*E$8*E$10))*kro_b(E31,'Layer Calcs'!B$5,'Layer Calcs'!B$6,'Layer Calcs'!G$6,'Layer Calcs'!G$7,'Layer Calcs'!H$5,'Layer Calcs'!H$6,'Layer Calcs'!H$7)</f>
        <v>168.78740152262102</v>
      </c>
    </row>
    <row r="32" spans="2:7" ht="12.75">
      <c r="B32" s="76">
        <v>3</v>
      </c>
      <c r="C32" s="80">
        <f t="shared" si="0"/>
        <v>0</v>
      </c>
      <c r="D32" s="144">
        <f t="shared" si="1"/>
        <v>0</v>
      </c>
      <c r="E32" s="80">
        <f>bo_trench(D32,C$24,C$25,365*C$26,365*C$27,'Layer Calcs'!B$5,'Layer Calcs'!B$6,'Layer Calcs'!B$7,'Layer Calcs'!F$5,'Layer Calcs'!F$6,'Layer Calcs'!F$7,'Layer Calcs'!G$6,'Layer Calcs'!G$7,'Layer Calcs'!H$5,'Layer Calcs'!H$6,'Layer Calcs'!H$7)</f>
        <v>3</v>
      </c>
      <c r="F32" s="145">
        <f>7.48*E$8*E$9*vo_recover(E32,C$24,'Layer Calcs'!B$5,'Layer Calcs'!B$6,'Layer Calcs'!B$7,'Layer Calcs'!F$5,'Layer Calcs'!F$6,'Layer Calcs'!F$7)</f>
        <v>0</v>
      </c>
      <c r="G32" s="145">
        <f>7.48*E$8*E32*(E$7*'Data Entry'!C$17/E$4)*(E$6+(1440*E$5/7.48)/(2*E$7*E$8*E$10))*kro_b(E32,'Layer Calcs'!B$5,'Layer Calcs'!B$6,'Layer Calcs'!G$6,'Layer Calcs'!G$7,'Layer Calcs'!H$5,'Layer Calcs'!H$6,'Layer Calcs'!H$7)</f>
        <v>168.78740152262102</v>
      </c>
    </row>
    <row r="33" spans="2:7" ht="12.75">
      <c r="B33" s="76">
        <v>4</v>
      </c>
      <c r="C33" s="80">
        <f t="shared" si="0"/>
        <v>0</v>
      </c>
      <c r="D33" s="144">
        <f t="shared" si="1"/>
        <v>0</v>
      </c>
      <c r="E33" s="80">
        <f>bo_trench(D33,C$24,C$25,365*C$26,365*C$27,'Layer Calcs'!B$5,'Layer Calcs'!B$6,'Layer Calcs'!B$7,'Layer Calcs'!F$5,'Layer Calcs'!F$6,'Layer Calcs'!F$7,'Layer Calcs'!G$6,'Layer Calcs'!G$7,'Layer Calcs'!H$5,'Layer Calcs'!H$6,'Layer Calcs'!H$7)</f>
        <v>3</v>
      </c>
      <c r="F33" s="145">
        <f>7.48*E$8*E$9*vo_recover(E33,C$24,'Layer Calcs'!B$5,'Layer Calcs'!B$6,'Layer Calcs'!B$7,'Layer Calcs'!F$5,'Layer Calcs'!F$6,'Layer Calcs'!F$7)</f>
        <v>0</v>
      </c>
      <c r="G33" s="145">
        <f>7.48*E$8*E33*(E$7*'Data Entry'!C$17/E$4)*(E$6+(1440*E$5/7.48)/(2*E$7*E$8*E$10))*kro_b(E33,'Layer Calcs'!B$5,'Layer Calcs'!B$6,'Layer Calcs'!G$6,'Layer Calcs'!G$7,'Layer Calcs'!H$5,'Layer Calcs'!H$6,'Layer Calcs'!H$7)</f>
        <v>168.78740152262102</v>
      </c>
    </row>
    <row r="34" spans="2:7" ht="12.75">
      <c r="B34" s="76">
        <v>5</v>
      </c>
      <c r="C34" s="80">
        <f t="shared" si="0"/>
        <v>0</v>
      </c>
      <c r="D34" s="144">
        <f t="shared" si="1"/>
        <v>0</v>
      </c>
      <c r="E34" s="80">
        <f>bo_trench(D34,C$24,C$25,365*C$26,365*C$27,'Layer Calcs'!B$5,'Layer Calcs'!B$6,'Layer Calcs'!B$7,'Layer Calcs'!F$5,'Layer Calcs'!F$6,'Layer Calcs'!F$7,'Layer Calcs'!G$6,'Layer Calcs'!G$7,'Layer Calcs'!H$5,'Layer Calcs'!H$6,'Layer Calcs'!H$7)</f>
        <v>3</v>
      </c>
      <c r="F34" s="145">
        <f>7.48*E$8*E$9*vo_recover(E34,C$24,'Layer Calcs'!B$5,'Layer Calcs'!B$6,'Layer Calcs'!B$7,'Layer Calcs'!F$5,'Layer Calcs'!F$6,'Layer Calcs'!F$7)</f>
        <v>0</v>
      </c>
      <c r="G34" s="145">
        <f>7.48*E$8*E34*(E$7*'Data Entry'!C$17/E$4)*(E$6+(1440*E$5/7.48)/(2*E$7*E$8*E$10))*kro_b(E34,'Layer Calcs'!B$5,'Layer Calcs'!B$6,'Layer Calcs'!G$6,'Layer Calcs'!G$7,'Layer Calcs'!H$5,'Layer Calcs'!H$6,'Layer Calcs'!H$7)</f>
        <v>168.78740152262102</v>
      </c>
    </row>
    <row r="35" spans="2:7" ht="12.75">
      <c r="B35" s="76">
        <v>6</v>
      </c>
      <c r="C35" s="80">
        <f t="shared" si="0"/>
        <v>0</v>
      </c>
      <c r="D35" s="144">
        <f t="shared" si="1"/>
        <v>0</v>
      </c>
      <c r="E35" s="80">
        <f>bo_trench(D35,C$24,C$25,365*C$26,365*C$27,'Layer Calcs'!B$5,'Layer Calcs'!B$6,'Layer Calcs'!B$7,'Layer Calcs'!F$5,'Layer Calcs'!F$6,'Layer Calcs'!F$7,'Layer Calcs'!G$6,'Layer Calcs'!G$7,'Layer Calcs'!H$5,'Layer Calcs'!H$6,'Layer Calcs'!H$7)</f>
        <v>3</v>
      </c>
      <c r="F35" s="145">
        <f>7.48*E$8*E$9*vo_recover(E35,C$24,'Layer Calcs'!B$5,'Layer Calcs'!B$6,'Layer Calcs'!B$7,'Layer Calcs'!F$5,'Layer Calcs'!F$6,'Layer Calcs'!F$7)</f>
        <v>0</v>
      </c>
      <c r="G35" s="145">
        <f>7.48*E$8*E35*(E$7*'Data Entry'!C$17/E$4)*(E$6+(1440*E$5/7.48)/(2*E$7*E$8*E$10))*kro_b(E35,'Layer Calcs'!B$5,'Layer Calcs'!B$6,'Layer Calcs'!G$6,'Layer Calcs'!G$7,'Layer Calcs'!H$5,'Layer Calcs'!H$6,'Layer Calcs'!H$7)</f>
        <v>168.78740152262102</v>
      </c>
    </row>
    <row r="36" spans="2:7" ht="12.75">
      <c r="B36" s="76">
        <v>7</v>
      </c>
      <c r="C36" s="80">
        <f t="shared" si="0"/>
        <v>0</v>
      </c>
      <c r="D36" s="144">
        <f t="shared" si="1"/>
        <v>0</v>
      </c>
      <c r="E36" s="80">
        <f>bo_trench(D36,C$24,C$25,365*C$26,365*C$27,'Layer Calcs'!B$5,'Layer Calcs'!B$6,'Layer Calcs'!B$7,'Layer Calcs'!F$5,'Layer Calcs'!F$6,'Layer Calcs'!F$7,'Layer Calcs'!G$6,'Layer Calcs'!G$7,'Layer Calcs'!H$5,'Layer Calcs'!H$6,'Layer Calcs'!H$7)</f>
        <v>3</v>
      </c>
      <c r="F36" s="145">
        <f>7.48*E$8*E$9*vo_recover(E36,C$24,'Layer Calcs'!B$5,'Layer Calcs'!B$6,'Layer Calcs'!B$7,'Layer Calcs'!F$5,'Layer Calcs'!F$6,'Layer Calcs'!F$7)</f>
        <v>0</v>
      </c>
      <c r="G36" s="145">
        <f>7.48*E$8*E36*(E$7*'Data Entry'!C$17/E$4)*(E$6+(1440*E$5/7.48)/(2*E$7*E$8*E$10))*kro_b(E36,'Layer Calcs'!B$5,'Layer Calcs'!B$6,'Layer Calcs'!G$6,'Layer Calcs'!G$7,'Layer Calcs'!H$5,'Layer Calcs'!H$6,'Layer Calcs'!H$7)</f>
        <v>168.78740152262102</v>
      </c>
    </row>
    <row r="37" spans="2:7" ht="12.75">
      <c r="B37" s="76">
        <v>8</v>
      </c>
      <c r="C37" s="80">
        <f t="shared" si="0"/>
        <v>0</v>
      </c>
      <c r="D37" s="144">
        <f t="shared" si="1"/>
        <v>0</v>
      </c>
      <c r="E37" s="80">
        <f>bo_trench(D37,C$24,C$25,365*C$26,365*C$27,'Layer Calcs'!B$5,'Layer Calcs'!B$6,'Layer Calcs'!B$7,'Layer Calcs'!F$5,'Layer Calcs'!F$6,'Layer Calcs'!F$7,'Layer Calcs'!G$6,'Layer Calcs'!G$7,'Layer Calcs'!H$5,'Layer Calcs'!H$6,'Layer Calcs'!H$7)</f>
        <v>3</v>
      </c>
      <c r="F37" s="145">
        <f>7.48*E$8*E$9*vo_recover(E37,C$24,'Layer Calcs'!B$5,'Layer Calcs'!B$6,'Layer Calcs'!B$7,'Layer Calcs'!F$5,'Layer Calcs'!F$6,'Layer Calcs'!F$7)</f>
        <v>0</v>
      </c>
      <c r="G37" s="145">
        <f>7.48*E$8*E37*(E$7*'Data Entry'!C$17/E$4)*(E$6+(1440*E$5/7.48)/(2*E$7*E$8*E$10))*kro_b(E37,'Layer Calcs'!B$5,'Layer Calcs'!B$6,'Layer Calcs'!G$6,'Layer Calcs'!G$7,'Layer Calcs'!H$5,'Layer Calcs'!H$6,'Layer Calcs'!H$7)</f>
        <v>168.78740152262102</v>
      </c>
    </row>
    <row r="38" spans="2:7" ht="12.75">
      <c r="B38" s="76">
        <v>9</v>
      </c>
      <c r="C38" s="80">
        <f t="shared" si="0"/>
        <v>0</v>
      </c>
      <c r="D38" s="144">
        <f t="shared" si="1"/>
        <v>0</v>
      </c>
      <c r="E38" s="80">
        <f>bo_trench(D38,C$24,C$25,365*C$26,365*C$27,'Layer Calcs'!B$5,'Layer Calcs'!B$6,'Layer Calcs'!B$7,'Layer Calcs'!F$5,'Layer Calcs'!F$6,'Layer Calcs'!F$7,'Layer Calcs'!G$6,'Layer Calcs'!G$7,'Layer Calcs'!H$5,'Layer Calcs'!H$6,'Layer Calcs'!H$7)</f>
        <v>3</v>
      </c>
      <c r="F38" s="145">
        <f>7.48*E$8*E$9*vo_recover(E38,C$24,'Layer Calcs'!B$5,'Layer Calcs'!B$6,'Layer Calcs'!B$7,'Layer Calcs'!F$5,'Layer Calcs'!F$6,'Layer Calcs'!F$7)</f>
        <v>0</v>
      </c>
      <c r="G38" s="145">
        <f>7.48*E$8*E38*(E$7*'Data Entry'!C$17/E$4)*(E$6+(1440*E$5/7.48)/(2*E$7*E$8*E$10))*kro_b(E38,'Layer Calcs'!B$5,'Layer Calcs'!B$6,'Layer Calcs'!G$6,'Layer Calcs'!G$7,'Layer Calcs'!H$5,'Layer Calcs'!H$6,'Layer Calcs'!H$7)</f>
        <v>168.78740152262102</v>
      </c>
    </row>
    <row r="39" spans="2:7" ht="12.75">
      <c r="B39" s="76">
        <v>10</v>
      </c>
      <c r="C39" s="80">
        <f t="shared" si="0"/>
        <v>0</v>
      </c>
      <c r="D39" s="144">
        <f t="shared" si="1"/>
        <v>0</v>
      </c>
      <c r="E39" s="80">
        <f>bo_trench(D39,C$24,C$25,365*C$26,365*C$27,'Layer Calcs'!B$5,'Layer Calcs'!B$6,'Layer Calcs'!B$7,'Layer Calcs'!F$5,'Layer Calcs'!F$6,'Layer Calcs'!F$7,'Layer Calcs'!G$6,'Layer Calcs'!G$7,'Layer Calcs'!H$5,'Layer Calcs'!H$6,'Layer Calcs'!H$7)</f>
        <v>3</v>
      </c>
      <c r="F39" s="145">
        <f>7.48*E$8*E$9*vo_recover(E39,C$24,'Layer Calcs'!B$5,'Layer Calcs'!B$6,'Layer Calcs'!B$7,'Layer Calcs'!F$5,'Layer Calcs'!F$6,'Layer Calcs'!F$7)</f>
        <v>0</v>
      </c>
      <c r="G39" s="145">
        <f>7.48*E$8*E39*(E$7*'Data Entry'!C$17/E$4)*(E$6+(1440*E$5/7.48)/(2*E$7*E$8*E$10))*kro_b(E39,'Layer Calcs'!B$5,'Layer Calcs'!B$6,'Layer Calcs'!G$6,'Layer Calcs'!G$7,'Layer Calcs'!H$5,'Layer Calcs'!H$6,'Layer Calcs'!H$7)</f>
        <v>168.78740152262102</v>
      </c>
    </row>
    <row r="40" spans="2:7" ht="12.75">
      <c r="B40" s="76">
        <v>11</v>
      </c>
      <c r="C40" s="80">
        <f t="shared" si="0"/>
        <v>0.1600792809386213</v>
      </c>
      <c r="D40" s="144">
        <f t="shared" si="1"/>
        <v>58.42893754259678</v>
      </c>
      <c r="E40" s="80">
        <f>bo_trench(D40,C$24,C$25,365*C$26,365*C$27,'Layer Calcs'!B$5,'Layer Calcs'!B$6,'Layer Calcs'!B$7,'Layer Calcs'!F$5,'Layer Calcs'!F$6,'Layer Calcs'!F$7,'Layer Calcs'!G$6,'Layer Calcs'!G$7,'Layer Calcs'!H$5,'Layer Calcs'!H$6,'Layer Calcs'!H$7)</f>
        <v>2.502338577823806</v>
      </c>
      <c r="F40" s="145">
        <f>7.48*E$8*E$9*vo_recover(E40,C$24,'Layer Calcs'!B$5,'Layer Calcs'!B$6,'Layer Calcs'!B$7,'Layer Calcs'!F$5,'Layer Calcs'!F$6,'Layer Calcs'!F$7)</f>
        <v>8121.996013849939</v>
      </c>
      <c r="G40" s="145">
        <f>7.48*E$8*E40*(E$7*'Data Entry'!C$17/E$4)*(E$6+(1440*E$5/7.48)/(2*E$7*E$8*E$10))*kro_b(E40,'Layer Calcs'!B$5,'Layer Calcs'!B$6,'Layer Calcs'!G$6,'Layer Calcs'!G$7,'Layer Calcs'!H$5,'Layer Calcs'!H$6,'Layer Calcs'!H$7)</f>
        <v>114.47376475811011</v>
      </c>
    </row>
    <row r="41" spans="2:7" ht="12.75">
      <c r="B41" s="76">
        <v>12</v>
      </c>
      <c r="C41" s="80">
        <f t="shared" si="0"/>
        <v>0.3201585618772426</v>
      </c>
      <c r="D41" s="144">
        <f t="shared" si="1"/>
        <v>116.85787508519356</v>
      </c>
      <c r="E41" s="80">
        <f>bo_trench(D41,C$24,C$25,365*C$26,365*C$27,'Layer Calcs'!B$5,'Layer Calcs'!B$6,'Layer Calcs'!B$7,'Layer Calcs'!F$5,'Layer Calcs'!F$6,'Layer Calcs'!F$7,'Layer Calcs'!G$6,'Layer Calcs'!G$7,'Layer Calcs'!H$5,'Layer Calcs'!H$6,'Layer Calcs'!H$7)</f>
        <v>2.154018536458784</v>
      </c>
      <c r="F41" s="145">
        <f>7.48*E$8*E$9*vo_recover(E41,C$24,'Layer Calcs'!B$5,'Layer Calcs'!B$6,'Layer Calcs'!B$7,'Layer Calcs'!F$5,'Layer Calcs'!F$6,'Layer Calcs'!F$7)</f>
        <v>13806.69219773286</v>
      </c>
      <c r="G41" s="145">
        <f>7.48*E$8*E41*(E$7*'Data Entry'!C$17/E$4)*(E$6+(1440*E$5/7.48)/(2*E$7*E$8*E$10))*kro_b(E41,'Layer Calcs'!B$5,'Layer Calcs'!B$6,'Layer Calcs'!G$6,'Layer Calcs'!G$7,'Layer Calcs'!H$5,'Layer Calcs'!H$6,'Layer Calcs'!H$7)</f>
        <v>82.68543227135189</v>
      </c>
    </row>
    <row r="42" spans="2:7" ht="12.75">
      <c r="B42" s="76">
        <v>13</v>
      </c>
      <c r="C42" s="80">
        <f t="shared" si="0"/>
        <v>0.4802378428158639</v>
      </c>
      <c r="D42" s="144">
        <f t="shared" si="1"/>
        <v>175.2868126277903</v>
      </c>
      <c r="E42" s="80">
        <f>bo_trench(D42,C$24,C$25,365*C$26,365*C$27,'Layer Calcs'!B$5,'Layer Calcs'!B$6,'Layer Calcs'!B$7,'Layer Calcs'!F$5,'Layer Calcs'!F$6,'Layer Calcs'!F$7,'Layer Calcs'!G$6,'Layer Calcs'!G$7,'Layer Calcs'!H$5,'Layer Calcs'!H$6,'Layer Calcs'!H$7)</f>
        <v>1.8966602064873297</v>
      </c>
      <c r="F42" s="145">
        <f>7.48*E$8*E$9*vo_recover(E42,C$24,'Layer Calcs'!B$5,'Layer Calcs'!B$6,'Layer Calcs'!B$7,'Layer Calcs'!F$5,'Layer Calcs'!F$6,'Layer Calcs'!F$7)</f>
        <v>18006.86371397947</v>
      </c>
      <c r="G42" s="145">
        <f>7.48*E$8*E42*(E$7*'Data Entry'!C$17/E$4)*(E$6+(1440*E$5/7.48)/(2*E$7*E$8*E$10))*kro_b(E42,'Layer Calcs'!B$5,'Layer Calcs'!B$6,'Layer Calcs'!G$6,'Layer Calcs'!G$7,'Layer Calcs'!H$5,'Layer Calcs'!H$6,'Layer Calcs'!H$7)</f>
        <v>62.49215464441059</v>
      </c>
    </row>
    <row r="43" spans="2:7" ht="12.75">
      <c r="B43" s="76">
        <v>14</v>
      </c>
      <c r="C43" s="80">
        <f t="shared" si="0"/>
        <v>0.6403171237544852</v>
      </c>
      <c r="D43" s="144">
        <f t="shared" si="1"/>
        <v>233.7157501703871</v>
      </c>
      <c r="E43" s="80">
        <f>bo_trench(D43,C$24,C$25,365*C$26,365*C$27,'Layer Calcs'!B$5,'Layer Calcs'!B$6,'Layer Calcs'!B$7,'Layer Calcs'!F$5,'Layer Calcs'!F$6,'Layer Calcs'!F$7,'Layer Calcs'!G$6,'Layer Calcs'!G$7,'Layer Calcs'!H$5,'Layer Calcs'!H$6,'Layer Calcs'!H$7)</f>
        <v>1.698804532258639</v>
      </c>
      <c r="F43" s="145">
        <f>7.48*E$8*E$9*vo_recover(E43,C$24,'Layer Calcs'!B$5,'Layer Calcs'!B$6,'Layer Calcs'!B$7,'Layer Calcs'!F$5,'Layer Calcs'!F$6,'Layer Calcs'!F$7)</f>
        <v>21235.932566405158</v>
      </c>
      <c r="G43" s="145">
        <f>7.48*E$8*E43*(E$7*'Data Entry'!C$17/E$4)*(E$6+(1440*E$5/7.48)/(2*E$7*E$8*E$10))*kro_b(E43,'Layer Calcs'!B$5,'Layer Calcs'!B$6,'Layer Calcs'!G$6,'Layer Calcs'!G$7,'Layer Calcs'!H$5,'Layer Calcs'!H$6,'Layer Calcs'!H$7)</f>
        <v>48.870812705255624</v>
      </c>
    </row>
    <row r="44" spans="2:7" ht="12.75">
      <c r="B44" s="76">
        <v>15</v>
      </c>
      <c r="C44" s="80">
        <f t="shared" si="0"/>
        <v>0.8003964046931065</v>
      </c>
      <c r="D44" s="144">
        <f t="shared" si="1"/>
        <v>292.14468771298385</v>
      </c>
      <c r="E44" s="80">
        <f>bo_trench(D44,C$24,C$25,365*C$26,365*C$27,'Layer Calcs'!B$5,'Layer Calcs'!B$6,'Layer Calcs'!B$7,'Layer Calcs'!F$5,'Layer Calcs'!F$6,'Layer Calcs'!F$7,'Layer Calcs'!G$6,'Layer Calcs'!G$7,'Layer Calcs'!H$5,'Layer Calcs'!H$6,'Layer Calcs'!H$7)</f>
        <v>1.5419996574995092</v>
      </c>
      <c r="F44" s="145">
        <f>7.48*E$8*E$9*vo_recover(E44,C$24,'Layer Calcs'!B$5,'Layer Calcs'!B$6,'Layer Calcs'!B$7,'Layer Calcs'!F$5,'Layer Calcs'!F$6,'Layer Calcs'!F$7)</f>
        <v>23795.03904119836</v>
      </c>
      <c r="G44" s="145">
        <f>7.48*E$8*E44*(E$7*'Data Entry'!C$17/E$4)*(E$6+(1440*E$5/7.48)/(2*E$7*E$8*E$10))*kro_b(E44,'Layer Calcs'!B$5,'Layer Calcs'!B$6,'Layer Calcs'!G$6,'Layer Calcs'!G$7,'Layer Calcs'!H$5,'Layer Calcs'!H$6,'Layer Calcs'!H$7)</f>
        <v>39.250717423014244</v>
      </c>
    </row>
    <row r="45" spans="2:7" ht="12.75">
      <c r="B45" s="76">
        <v>16</v>
      </c>
      <c r="C45" s="80">
        <f t="shared" si="0"/>
        <v>0.9604756856317278</v>
      </c>
      <c r="D45" s="144">
        <f t="shared" si="1"/>
        <v>350.5736252555806</v>
      </c>
      <c r="E45" s="80">
        <f>bo_trench(D45,C$24,C$25,365*C$26,365*C$27,'Layer Calcs'!B$5,'Layer Calcs'!B$6,'Layer Calcs'!B$7,'Layer Calcs'!F$5,'Layer Calcs'!F$6,'Layer Calcs'!F$7,'Layer Calcs'!G$6,'Layer Calcs'!G$7,'Layer Calcs'!H$5,'Layer Calcs'!H$6,'Layer Calcs'!H$7)</f>
        <v>1.4147081822782923</v>
      </c>
      <c r="F45" s="145">
        <f>7.48*E$8*E$9*vo_recover(E45,C$24,'Layer Calcs'!B$5,'Layer Calcs'!B$6,'Layer Calcs'!B$7,'Layer Calcs'!F$5,'Layer Calcs'!F$6,'Layer Calcs'!F$7)</f>
        <v>25872.477251744986</v>
      </c>
      <c r="G45" s="145">
        <f>7.48*E$8*E45*(E$7*'Data Entry'!C$17/E$4)*(E$6+(1440*E$5/7.48)/(2*E$7*E$8*E$10))*kro_b(E45,'Layer Calcs'!B$5,'Layer Calcs'!B$6,'Layer Calcs'!G$6,'Layer Calcs'!G$7,'Layer Calcs'!H$5,'Layer Calcs'!H$6,'Layer Calcs'!H$7)</f>
        <v>32.205428416395534</v>
      </c>
    </row>
    <row r="46" spans="2:7" ht="12.75">
      <c r="B46" s="76">
        <v>17</v>
      </c>
      <c r="C46" s="80">
        <f t="shared" si="0"/>
        <v>1.1205549665703491</v>
      </c>
      <c r="D46" s="144">
        <f t="shared" si="1"/>
        <v>409.00256279817745</v>
      </c>
      <c r="E46" s="80">
        <f>bo_trench(D46,C$24,C$25,365*C$26,365*C$27,'Layer Calcs'!B$5,'Layer Calcs'!B$6,'Layer Calcs'!B$7,'Layer Calcs'!F$5,'Layer Calcs'!F$6,'Layer Calcs'!F$7,'Layer Calcs'!G$6,'Layer Calcs'!G$7,'Layer Calcs'!H$5,'Layer Calcs'!H$6,'Layer Calcs'!H$7)</f>
        <v>1.3093457717848835</v>
      </c>
      <c r="F46" s="145">
        <f>7.48*E$8*E$9*vo_recover(E46,C$24,'Layer Calcs'!B$5,'Layer Calcs'!B$6,'Layer Calcs'!B$7,'Layer Calcs'!F$5,'Layer Calcs'!F$6,'Layer Calcs'!F$7)</f>
        <v>27592.026004981704</v>
      </c>
      <c r="G46" s="145">
        <f>7.48*E$8*E46*(E$7*'Data Entry'!C$17/E$4)*(E$6+(1440*E$5/7.48)/(2*E$7*E$8*E$10))*kro_b(E46,'Layer Calcs'!B$5,'Layer Calcs'!B$6,'Layer Calcs'!G$6,'Layer Calcs'!G$7,'Layer Calcs'!H$5,'Layer Calcs'!H$6,'Layer Calcs'!H$7)</f>
        <v>26.891829904342327</v>
      </c>
    </row>
    <row r="47" spans="2:7" ht="12.75">
      <c r="B47" s="76">
        <v>18</v>
      </c>
      <c r="C47" s="80">
        <f t="shared" si="0"/>
        <v>1.2806342475089705</v>
      </c>
      <c r="D47" s="144">
        <f t="shared" si="1"/>
        <v>467.4315003407742</v>
      </c>
      <c r="E47" s="80">
        <f>bo_trench(D47,C$24,C$25,365*C$26,365*C$27,'Layer Calcs'!B$5,'Layer Calcs'!B$6,'Layer Calcs'!B$7,'Layer Calcs'!F$5,'Layer Calcs'!F$6,'Layer Calcs'!F$7,'Layer Calcs'!G$6,'Layer Calcs'!G$7,'Layer Calcs'!H$5,'Layer Calcs'!H$6,'Layer Calcs'!H$7)</f>
        <v>1.2207216803775724</v>
      </c>
      <c r="F47" s="145">
        <f>7.48*E$8*E$9*vo_recover(E47,C$24,'Layer Calcs'!B$5,'Layer Calcs'!B$6,'Layer Calcs'!B$7,'Layer Calcs'!F$5,'Layer Calcs'!F$6,'Layer Calcs'!F$7)</f>
        <v>29038.39995535476</v>
      </c>
      <c r="G47" s="145">
        <f>7.48*E$8*E47*(E$7*'Data Entry'!C$17/E$4)*(E$6+(1440*E$5/7.48)/(2*E$7*E$8*E$10))*kro_b(E47,'Layer Calcs'!B$5,'Layer Calcs'!B$6,'Layer Calcs'!G$6,'Layer Calcs'!G$7,'Layer Calcs'!H$5,'Layer Calcs'!H$6,'Layer Calcs'!H$7)</f>
        <v>22.7856423581535</v>
      </c>
    </row>
    <row r="48" spans="2:7" ht="12.75">
      <c r="B48" s="76">
        <v>19</v>
      </c>
      <c r="C48" s="80">
        <f t="shared" si="0"/>
        <v>1.4407135284475918</v>
      </c>
      <c r="D48" s="144">
        <f t="shared" si="1"/>
        <v>525.860437883371</v>
      </c>
      <c r="E48" s="80">
        <f>bo_trench(D48,C$24,C$25,365*C$26,365*C$27,'Layer Calcs'!B$5,'Layer Calcs'!B$6,'Layer Calcs'!B$7,'Layer Calcs'!F$5,'Layer Calcs'!F$6,'Layer Calcs'!F$7,'Layer Calcs'!G$6,'Layer Calcs'!G$7,'Layer Calcs'!H$5,'Layer Calcs'!H$6,'Layer Calcs'!H$7)</f>
        <v>1.1451635395454776</v>
      </c>
      <c r="F48" s="145">
        <f>7.48*E$8*E$9*vo_recover(E48,C$24,'Layer Calcs'!B$5,'Layer Calcs'!B$6,'Layer Calcs'!B$7,'Layer Calcs'!F$5,'Layer Calcs'!F$6,'Layer Calcs'!F$7)</f>
        <v>30271.533349477715</v>
      </c>
      <c r="G48" s="145">
        <f>7.48*E$8*E48*(E$7*'Data Entry'!C$17/E$4)*(E$6+(1440*E$5/7.48)/(2*E$7*E$8*E$10))*kro_b(E48,'Layer Calcs'!B$5,'Layer Calcs'!B$6,'Layer Calcs'!G$6,'Layer Calcs'!G$7,'Layer Calcs'!H$5,'Layer Calcs'!H$6,'Layer Calcs'!H$7)</f>
        <v>19.546962985286637</v>
      </c>
    </row>
    <row r="49" spans="2:7" ht="12.75">
      <c r="B49" s="76">
        <v>20</v>
      </c>
      <c r="C49" s="80">
        <f t="shared" si="0"/>
        <v>1.600792809386213</v>
      </c>
      <c r="D49" s="144">
        <f t="shared" si="1"/>
        <v>584.2893754259677</v>
      </c>
      <c r="E49" s="80">
        <f>bo_trench(D49,C$24,C$25,365*C$26,365*C$27,'Layer Calcs'!B$5,'Layer Calcs'!B$6,'Layer Calcs'!B$7,'Layer Calcs'!F$5,'Layer Calcs'!F$6,'Layer Calcs'!F$7,'Layer Calcs'!G$6,'Layer Calcs'!G$7,'Layer Calcs'!H$5,'Layer Calcs'!H$6,'Layer Calcs'!H$7)</f>
        <v>1.0800000000000005</v>
      </c>
      <c r="F49" s="145">
        <f>7.48*E$8*E$9*vo_recover(E49,C$24,'Layer Calcs'!B$5,'Layer Calcs'!B$6,'Layer Calcs'!B$7,'Layer Calcs'!F$5,'Layer Calcs'!F$6,'Layer Calcs'!F$7)</f>
        <v>31335.023475198846</v>
      </c>
      <c r="G49" s="145">
        <f>7.48*E$8*E49*(E$7*'Data Entry'!C$17/E$4)*(E$6+(1440*E$5/7.48)/(2*E$7*E$8*E$10))*kro_b(E49,'Layer Calcs'!B$5,'Layer Calcs'!B$6,'Layer Calcs'!G$6,'Layer Calcs'!G$7,'Layer Calcs'!H$5,'Layer Calcs'!H$6,'Layer Calcs'!H$7)</f>
        <v>16.947595212022893</v>
      </c>
    </row>
    <row r="50" spans="2:7" ht="12.75">
      <c r="B50" s="76">
        <v>21</v>
      </c>
      <c r="C50" s="80">
        <f t="shared" si="0"/>
        <v>2.440713528447592</v>
      </c>
      <c r="D50" s="144">
        <f t="shared" si="1"/>
        <v>890.8604378833711</v>
      </c>
      <c r="E50" s="80">
        <f>bo_trench(D50,C$24,C$25,365*C$26,365*C$27,'Layer Calcs'!B$5,'Layer Calcs'!B$6,'Layer Calcs'!B$7,'Layer Calcs'!F$5,'Layer Calcs'!F$6,'Layer Calcs'!F$7,'Layer Calcs'!G$6,'Layer Calcs'!G$7,'Layer Calcs'!H$5,'Layer Calcs'!H$6,'Layer Calcs'!H$7)</f>
        <v>0.7480090127699874</v>
      </c>
      <c r="F50" s="145">
        <f>7.48*E$8*E$9*vo_recover(E50,C$24,'Layer Calcs'!B$5,'Layer Calcs'!B$6,'Layer Calcs'!B$7,'Layer Calcs'!F$5,'Layer Calcs'!F$6,'Layer Calcs'!F$7)</f>
        <v>34700.224778220334</v>
      </c>
      <c r="G50" s="145">
        <f>7.48*E$8*E50*(E$7*'Data Entry'!C$17/E$4)*(E$6+(1440*E$5/7.48)/(2*E$7*E$8*E$10))*kro_b(E50,'Layer Calcs'!B$5,'Layer Calcs'!B$6,'Layer Calcs'!G$6,'Layer Calcs'!G$7,'Layer Calcs'!H$5,'Layer Calcs'!H$6,'Layer Calcs'!H$7)</f>
        <v>7.098823754666576</v>
      </c>
    </row>
    <row r="51" spans="2:7" ht="12.75">
      <c r="B51" s="76">
        <v>22</v>
      </c>
      <c r="C51" s="80">
        <f t="shared" si="0"/>
        <v>3.2806342475089707</v>
      </c>
      <c r="D51" s="144">
        <f t="shared" si="1"/>
        <v>1197.4315003407744</v>
      </c>
      <c r="E51" s="80">
        <f>bo_trench(D51,C$24,C$25,365*C$26,365*C$27,'Layer Calcs'!B$5,'Layer Calcs'!B$6,'Layer Calcs'!B$7,'Layer Calcs'!F$5,'Layer Calcs'!F$6,'Layer Calcs'!F$7,'Layer Calcs'!G$6,'Layer Calcs'!G$7,'Layer Calcs'!H$5,'Layer Calcs'!H$6,'Layer Calcs'!H$7)</f>
        <v>0.5897171880989152</v>
      </c>
      <c r="F51" s="145">
        <f>7.48*E$8*E$9*vo_recover(E51,C$24,'Layer Calcs'!B$5,'Layer Calcs'!B$6,'Layer Calcs'!B$7,'Layer Calcs'!F$5,'Layer Calcs'!F$6,'Layer Calcs'!F$7)</f>
        <v>36304.73777745931</v>
      </c>
      <c r="G51" s="145">
        <f>7.48*E$8*E51*(E$7*'Data Entry'!C$17/E$4)*(E$6+(1440*E$5/7.48)/(2*E$7*E$8*E$10))*kro_b(E51,'Layer Calcs'!B$5,'Layer Calcs'!B$6,'Layer Calcs'!G$6,'Layer Calcs'!G$7,'Layer Calcs'!H$5,'Layer Calcs'!H$6,'Layer Calcs'!H$7)</f>
        <v>3.852764517493361</v>
      </c>
    </row>
    <row r="52" spans="2:7" ht="12.75">
      <c r="B52" s="76">
        <v>23</v>
      </c>
      <c r="C52" s="80">
        <f t="shared" si="0"/>
        <v>4.120554966570349</v>
      </c>
      <c r="D52" s="144">
        <f t="shared" si="1"/>
        <v>1504.0025627981775</v>
      </c>
      <c r="E52" s="80">
        <f>bo_trench(D52,C$24,C$25,365*C$26,365*C$27,'Layer Calcs'!B$5,'Layer Calcs'!B$6,'Layer Calcs'!B$7,'Layer Calcs'!F$5,'Layer Calcs'!F$6,'Layer Calcs'!F$7,'Layer Calcs'!G$6,'Layer Calcs'!G$7,'Layer Calcs'!H$5,'Layer Calcs'!H$6,'Layer Calcs'!H$7)</f>
        <v>0.49774246127235855</v>
      </c>
      <c r="F52" s="145">
        <f>7.48*E$8*E$9*vo_recover(E52,C$24,'Layer Calcs'!B$5,'Layer Calcs'!B$6,'Layer Calcs'!B$7,'Layer Calcs'!F$5,'Layer Calcs'!F$6,'Layer Calcs'!F$7)</f>
        <v>37237.03257601459</v>
      </c>
      <c r="G52" s="145">
        <f>7.48*E$8*E52*(E$7*'Data Entry'!C$17/E$4)*(E$6+(1440*E$5/7.48)/(2*E$7*E$8*E$10))*kro_b(E52,'Layer Calcs'!B$5,'Layer Calcs'!B$6,'Layer Calcs'!G$6,'Layer Calcs'!G$7,'Layer Calcs'!H$5,'Layer Calcs'!H$6,'Layer Calcs'!H$7)</f>
        <v>2.3966600486589997</v>
      </c>
    </row>
    <row r="53" spans="2:7" ht="12.75">
      <c r="B53" s="76">
        <v>24</v>
      </c>
      <c r="C53" s="80">
        <f t="shared" si="0"/>
        <v>4.960475685631728</v>
      </c>
      <c r="D53" s="144">
        <f t="shared" si="1"/>
        <v>1810.5736252555807</v>
      </c>
      <c r="E53" s="80">
        <f>bo_trench(D53,C$24,C$25,365*C$26,365*C$27,'Layer Calcs'!B$5,'Layer Calcs'!B$6,'Layer Calcs'!B$7,'Layer Calcs'!F$5,'Layer Calcs'!F$6,'Layer Calcs'!F$7,'Layer Calcs'!G$6,'Layer Calcs'!G$7,'Layer Calcs'!H$5,'Layer Calcs'!H$6,'Layer Calcs'!H$7)</f>
        <v>0.43808131277560414</v>
      </c>
      <c r="F53" s="145">
        <f>7.48*E$8*E$9*vo_recover(E53,C$24,'Layer Calcs'!B$5,'Layer Calcs'!B$6,'Layer Calcs'!B$7,'Layer Calcs'!F$5,'Layer Calcs'!F$6,'Layer Calcs'!F$7)</f>
        <v>37841.78325414651</v>
      </c>
      <c r="G53" s="145">
        <f>7.48*E$8*E53*(E$7*'Data Entry'!C$17/E$4)*(E$6+(1440*E$5/7.48)/(2*E$7*E$8*E$10))*kro_b(E53,'Layer Calcs'!B$5,'Layer Calcs'!B$6,'Layer Calcs'!G$6,'Layer Calcs'!G$7,'Layer Calcs'!H$5,'Layer Calcs'!H$6,'Layer Calcs'!H$7)</f>
        <v>1.6211330924091838</v>
      </c>
    </row>
    <row r="54" spans="2:7" ht="12.75">
      <c r="B54" s="76">
        <v>25</v>
      </c>
      <c r="C54" s="80">
        <f t="shared" si="0"/>
        <v>5.800396404693107</v>
      </c>
      <c r="D54" s="144">
        <f t="shared" si="1"/>
        <v>2117.144687712984</v>
      </c>
      <c r="E54" s="80">
        <f>bo_trench(D54,C$24,C$25,365*C$26,365*C$27,'Layer Calcs'!B$5,'Layer Calcs'!B$6,'Layer Calcs'!B$7,'Layer Calcs'!F$5,'Layer Calcs'!F$6,'Layer Calcs'!F$7,'Layer Calcs'!G$6,'Layer Calcs'!G$7,'Layer Calcs'!H$5,'Layer Calcs'!H$6,'Layer Calcs'!H$7)</f>
        <v>0.3965741125121452</v>
      </c>
      <c r="F54" s="145">
        <f>7.48*E$8*E$9*vo_recover(E54,C$24,'Layer Calcs'!B$5,'Layer Calcs'!B$6,'Layer Calcs'!B$7,'Layer Calcs'!F$5,'Layer Calcs'!F$6,'Layer Calcs'!F$7)</f>
        <v>38262.51782160208</v>
      </c>
      <c r="G54" s="145">
        <f>7.48*E$8*E54*(E$7*'Data Entry'!C$17/E$4)*(E$6+(1440*E$5/7.48)/(2*E$7*E$8*E$10))*kro_b(E54,'Layer Calcs'!B$5,'Layer Calcs'!B$6,'Layer Calcs'!G$6,'Layer Calcs'!G$7,'Layer Calcs'!H$5,'Layer Calcs'!H$6,'Layer Calcs'!H$7)</f>
        <v>1.1600323440639744</v>
      </c>
    </row>
    <row r="55" spans="2:7" ht="12.75">
      <c r="B55" s="76">
        <v>26</v>
      </c>
      <c r="C55" s="80">
        <f t="shared" si="0"/>
        <v>6.640317123754485</v>
      </c>
      <c r="D55" s="144">
        <f t="shared" si="1"/>
        <v>2423.7157501703873</v>
      </c>
      <c r="E55" s="80">
        <f>bo_trench(D55,C$24,C$25,365*C$26,365*C$27,'Layer Calcs'!B$5,'Layer Calcs'!B$6,'Layer Calcs'!B$7,'Layer Calcs'!F$5,'Layer Calcs'!F$6,'Layer Calcs'!F$7,'Layer Calcs'!G$6,'Layer Calcs'!G$7,'Layer Calcs'!H$5,'Layer Calcs'!H$6,'Layer Calcs'!H$7)</f>
        <v>0.3662712468597484</v>
      </c>
      <c r="F55" s="145">
        <f>7.48*E$8*E$9*vo_recover(E55,C$24,'Layer Calcs'!B$5,'Layer Calcs'!B$6,'Layer Calcs'!B$7,'Layer Calcs'!F$5,'Layer Calcs'!F$6,'Layer Calcs'!F$7)</f>
        <v>38569.68050643749</v>
      </c>
      <c r="G55" s="145">
        <f>7.48*E$8*E55*(E$7*'Data Entry'!C$17/E$4)*(E$6+(1440*E$5/7.48)/(2*E$7*E$8*E$10))*kro_b(E55,'Layer Calcs'!B$5,'Layer Calcs'!B$6,'Layer Calcs'!G$6,'Layer Calcs'!G$7,'Layer Calcs'!H$5,'Layer Calcs'!H$6,'Layer Calcs'!H$7)</f>
        <v>0.864050629916987</v>
      </c>
    </row>
    <row r="56" spans="2:7" ht="12.75">
      <c r="B56" s="76">
        <v>27</v>
      </c>
      <c r="C56" s="80">
        <f t="shared" si="0"/>
        <v>7.480237842815864</v>
      </c>
      <c r="D56" s="144">
        <f t="shared" si="1"/>
        <v>2730.2868126277904</v>
      </c>
      <c r="E56" s="80">
        <f>bo_trench(D56,C$24,C$25,365*C$26,365*C$27,'Layer Calcs'!B$5,'Layer Calcs'!B$6,'Layer Calcs'!B$7,'Layer Calcs'!F$5,'Layer Calcs'!F$6,'Layer Calcs'!F$7,'Layer Calcs'!G$6,'Layer Calcs'!G$7,'Layer Calcs'!H$5,'Layer Calcs'!H$6,'Layer Calcs'!H$7)</f>
        <v>0.3433613611674225</v>
      </c>
      <c r="F56" s="145">
        <f>7.48*E$8*E$9*vo_recover(E56,C$24,'Layer Calcs'!B$5,'Layer Calcs'!B$6,'Layer Calcs'!B$7,'Layer Calcs'!F$5,'Layer Calcs'!F$6,'Layer Calcs'!F$7)</f>
        <v>38801.90481417291</v>
      </c>
      <c r="G56" s="145">
        <f>7.48*E$8*E56*(E$7*'Data Entry'!C$17/E$4)*(E$6+(1440*E$5/7.48)/(2*E$7*E$8*E$10))*kro_b(E56,'Layer Calcs'!B$5,'Layer Calcs'!B$6,'Layer Calcs'!G$6,'Layer Calcs'!G$7,'Layer Calcs'!H$5,'Layer Calcs'!H$6,'Layer Calcs'!H$7)</f>
        <v>0.6630534547663021</v>
      </c>
    </row>
    <row r="57" spans="2:7" ht="12.75">
      <c r="B57" s="76">
        <v>28</v>
      </c>
      <c r="C57" s="80">
        <f t="shared" si="0"/>
        <v>8.320158561877243</v>
      </c>
      <c r="D57" s="144">
        <f t="shared" si="1"/>
        <v>3036.8578750851934</v>
      </c>
      <c r="E57" s="80">
        <f>bo_trench(D57,C$24,C$25,365*C$26,365*C$27,'Layer Calcs'!B$5,'Layer Calcs'!B$6,'Layer Calcs'!B$7,'Layer Calcs'!F$5,'Layer Calcs'!F$6,'Layer Calcs'!F$7,'Layer Calcs'!G$6,'Layer Calcs'!G$7,'Layer Calcs'!H$5,'Layer Calcs'!H$6,'Layer Calcs'!H$7)</f>
        <v>0.3255790304922805</v>
      </c>
      <c r="F57" s="145">
        <f>7.48*E$8*E$9*vo_recover(E57,C$24,'Layer Calcs'!B$5,'Layer Calcs'!B$6,'Layer Calcs'!B$7,'Layer Calcs'!F$5,'Layer Calcs'!F$6,'Layer Calcs'!F$7)</f>
        <v>38982.15405183455</v>
      </c>
      <c r="G57" s="145">
        <f>7.48*E$8*E57*(E$7*'Data Entry'!C$17/E$4)*(E$6+(1440*E$5/7.48)/(2*E$7*E$8*E$10))*kro_b(E57,'Layer Calcs'!B$5,'Layer Calcs'!B$6,'Layer Calcs'!G$6,'Layer Calcs'!G$7,'Layer Calcs'!H$5,'Layer Calcs'!H$6,'Layer Calcs'!H$7)</f>
        <v>0.5205599002884705</v>
      </c>
    </row>
    <row r="58" spans="2:7" ht="12.75">
      <c r="B58" s="76">
        <v>29</v>
      </c>
      <c r="C58" s="80">
        <f t="shared" si="0"/>
        <v>9.160079280938621</v>
      </c>
      <c r="D58" s="144">
        <f t="shared" si="1"/>
        <v>3343.428937542597</v>
      </c>
      <c r="E58" s="80">
        <f>bo_trench(D58,C$24,C$25,365*C$26,365*C$27,'Layer Calcs'!B$5,'Layer Calcs'!B$6,'Layer Calcs'!B$7,'Layer Calcs'!F$5,'Layer Calcs'!F$6,'Layer Calcs'!F$7,'Layer Calcs'!G$6,'Layer Calcs'!G$7,'Layer Calcs'!H$5,'Layer Calcs'!H$6,'Layer Calcs'!H$7)</f>
        <v>0.31149271797731926</v>
      </c>
      <c r="F58" s="145">
        <f>7.48*E$8*E$9*vo_recover(E58,C$24,'Layer Calcs'!B$5,'Layer Calcs'!B$6,'Layer Calcs'!B$7,'Layer Calcs'!F$5,'Layer Calcs'!F$6,'Layer Calcs'!F$7)</f>
        <v>39124.93888351214</v>
      </c>
      <c r="G58" s="145">
        <f>7.48*E$8*E58*(E$7*'Data Entry'!C$17/E$4)*(E$6+(1440*E$5/7.48)/(2*E$7*E$8*E$10))*kro_b(E58,'Layer Calcs'!B$5,'Layer Calcs'!B$6,'Layer Calcs'!G$6,'Layer Calcs'!G$7,'Layer Calcs'!H$5,'Layer Calcs'!H$6,'Layer Calcs'!H$7)</f>
        <v>0.4160694385523768</v>
      </c>
    </row>
    <row r="59" spans="2:7" ht="12.75">
      <c r="B59" s="76">
        <v>30</v>
      </c>
      <c r="C59" s="80">
        <f t="shared" si="0"/>
        <v>10</v>
      </c>
      <c r="D59" s="144">
        <f t="shared" si="1"/>
        <v>3650</v>
      </c>
      <c r="E59" s="80">
        <f>bo_trench(D59,C$24,C$25,365*C$26,365*C$27,'Layer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59" s="145">
        <f>7.48*E$8*E$9*vo_recover(E59,C$24,'Layer Calcs'!B$5,'Layer Calcs'!B$6,'Layer Calcs'!B$7,'Layer Calcs'!F$5,'Layer Calcs'!F$6,'Layer Calcs'!F$7)</f>
        <v>39239.8814089043</v>
      </c>
      <c r="G59" s="145">
        <f>7.48*E$8*E59*(E$7*'Data Entry'!C$17/E$4)*(E$6+(1440*E$5/7.48)/(2*E$7*E$8*E$10))*kro_b(E59,'Layer Calcs'!B$5,'Layer Calcs'!B$6,'Layer Calcs'!G$6,'Layer Calcs'!G$7,'Layer Calcs'!H$5,'Layer Calcs'!H$6,'Layer Calcs'!H$7)</f>
        <v>0.33734014884785335</v>
      </c>
    </row>
    <row r="60" spans="2:7" ht="12.75">
      <c r="B60" s="76">
        <v>31</v>
      </c>
      <c r="C60" s="80">
        <f t="shared" si="0"/>
        <v>10</v>
      </c>
      <c r="D60" s="144">
        <f t="shared" si="1"/>
        <v>3650</v>
      </c>
      <c r="E60" s="80">
        <f>bo_trench(D60,C$24,C$25,365*C$26,365*C$27,'Layer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0" s="145">
        <f>7.48*E$8*E$9*vo_recover(E60,C$24,'Layer Calcs'!B$5,'Layer Calcs'!B$6,'Layer Calcs'!B$7,'Layer Calcs'!F$5,'Layer Calcs'!F$6,'Layer Calcs'!F$7)</f>
        <v>39239.8814089043</v>
      </c>
      <c r="G60" s="145">
        <f>7.48*E$8*E60*(E$7*'Data Entry'!C$17/E$4)*(E$6+(1440*E$5/7.48)/(2*E$7*E$8*E$10))*kro_b(E60,'Layer Calcs'!B$5,'Layer Calcs'!B$6,'Layer Calcs'!G$6,'Layer Calcs'!G$7,'Layer Calcs'!H$5,'Layer Calcs'!H$6,'Layer Calcs'!H$7)</f>
        <v>0.33734014884785335</v>
      </c>
    </row>
    <row r="61" spans="2:7" ht="12.75">
      <c r="B61" s="76">
        <v>32</v>
      </c>
      <c r="C61" s="80">
        <f t="shared" si="0"/>
        <v>10</v>
      </c>
      <c r="D61" s="144">
        <f t="shared" si="1"/>
        <v>3650</v>
      </c>
      <c r="E61" s="80">
        <f>bo_trench(D61,C$24,C$25,365*C$26,365*C$27,'Layer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1" s="145">
        <f>7.48*E$8*E$9*vo_recover(E61,C$24,'Layer Calcs'!B$5,'Layer Calcs'!B$6,'Layer Calcs'!B$7,'Layer Calcs'!F$5,'Layer Calcs'!F$6,'Layer Calcs'!F$7)</f>
        <v>39239.8814089043</v>
      </c>
      <c r="G61" s="145">
        <f>7.48*E$8*E61*(E$7*'Data Entry'!C$17/E$4)*(E$6+(1440*E$5/7.48)/(2*E$7*E$8*E$10))*kro_b(E61,'Layer Calcs'!B$5,'Layer Calcs'!B$6,'Layer Calcs'!G$6,'Layer Calcs'!G$7,'Layer Calcs'!H$5,'Layer Calcs'!H$6,'Layer Calcs'!H$7)</f>
        <v>0.33734014884785335</v>
      </c>
    </row>
    <row r="62" spans="2:7" ht="12.75">
      <c r="B62" s="76">
        <v>33</v>
      </c>
      <c r="C62" s="80">
        <f t="shared" si="0"/>
        <v>10</v>
      </c>
      <c r="D62" s="144">
        <f t="shared" si="1"/>
        <v>3650</v>
      </c>
      <c r="E62" s="80">
        <f>bo_trench(D62,C$24,C$25,365*C$26,365*C$27,'Layer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2" s="145">
        <f>7.48*E$8*E$9*vo_recover(E62,C$24,'Layer Calcs'!B$5,'Layer Calcs'!B$6,'Layer Calcs'!B$7,'Layer Calcs'!F$5,'Layer Calcs'!F$6,'Layer Calcs'!F$7)</f>
        <v>39239.8814089043</v>
      </c>
      <c r="G62" s="145">
        <f>7.48*E$8*E62*(E$7*'Data Entry'!C$17/E$4)*(E$6+(1440*E$5/7.48)/(2*E$7*E$8*E$10))*kro_b(E62,'Layer Calcs'!B$5,'Layer Calcs'!B$6,'Layer Calcs'!G$6,'Layer Calcs'!G$7,'Layer Calcs'!H$5,'Layer Calcs'!H$6,'Layer Calcs'!H$7)</f>
        <v>0.33734014884785335</v>
      </c>
    </row>
    <row r="63" spans="2:7" ht="12.75">
      <c r="B63" s="76">
        <v>34</v>
      </c>
      <c r="C63" s="80">
        <f t="shared" si="0"/>
        <v>10</v>
      </c>
      <c r="D63" s="144">
        <f t="shared" si="1"/>
        <v>3650</v>
      </c>
      <c r="E63" s="80">
        <f>bo_trench(D63,C$24,C$25,365*C$26,365*C$27,'Layer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3" s="145">
        <f>7.48*E$8*E$9*vo_recover(E63,C$24,'Layer Calcs'!B$5,'Layer Calcs'!B$6,'Layer Calcs'!B$7,'Layer Calcs'!F$5,'Layer Calcs'!F$6,'Layer Calcs'!F$7)</f>
        <v>39239.8814089043</v>
      </c>
      <c r="G63" s="145">
        <f>7.48*E$8*E63*(E$7*'Data Entry'!C$17/E$4)*(E$6+(1440*E$5/7.48)/(2*E$7*E$8*E$10))*kro_b(E63,'Layer Calcs'!B$5,'Layer Calcs'!B$6,'Layer Calcs'!G$6,'Layer Calcs'!G$7,'Layer Calcs'!H$5,'Layer Calcs'!H$6,'Layer Calcs'!H$7)</f>
        <v>0.33734014884785335</v>
      </c>
    </row>
    <row r="64" spans="2:7" ht="12.75">
      <c r="B64" s="76">
        <v>35</v>
      </c>
      <c r="C64" s="80">
        <f t="shared" si="0"/>
        <v>10</v>
      </c>
      <c r="D64" s="144">
        <f t="shared" si="1"/>
        <v>3650</v>
      </c>
      <c r="E64" s="80">
        <f>bo_trench(D64,C$24,C$25,365*C$26,365*C$27,'Layer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4" s="145">
        <f>7.48*E$8*E$9*vo_recover(E64,C$24,'Layer Calcs'!B$5,'Layer Calcs'!B$6,'Layer Calcs'!B$7,'Layer Calcs'!F$5,'Layer Calcs'!F$6,'Layer Calcs'!F$7)</f>
        <v>39239.8814089043</v>
      </c>
      <c r="G64" s="145">
        <f>7.48*E$8*E64*(E$7*'Data Entry'!C$17/E$4)*(E$6+(1440*E$5/7.48)/(2*E$7*E$8*E$10))*kro_b(E64,'Layer Calcs'!B$5,'Layer Calcs'!B$6,'Layer Calcs'!G$6,'Layer Calcs'!G$7,'Layer Calcs'!H$5,'Layer Calcs'!H$6,'Layer Calcs'!H$7)</f>
        <v>0.33734014884785335</v>
      </c>
    </row>
    <row r="65" spans="2:7" ht="12.75">
      <c r="B65" s="76">
        <v>36</v>
      </c>
      <c r="C65" s="80">
        <f t="shared" si="0"/>
        <v>10</v>
      </c>
      <c r="D65" s="144">
        <f t="shared" si="1"/>
        <v>3650</v>
      </c>
      <c r="E65" s="80">
        <f>bo_trench(D65,C$24,C$25,365*C$26,365*C$27,'Layer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5" s="145">
        <f>7.48*E$8*E$9*vo_recover(E65,C$24,'Layer Calcs'!B$5,'Layer Calcs'!B$6,'Layer Calcs'!B$7,'Layer Calcs'!F$5,'Layer Calcs'!F$6,'Layer Calcs'!F$7)</f>
        <v>39239.8814089043</v>
      </c>
      <c r="G65" s="145">
        <f>7.48*E$8*E65*(E$7*'Data Entry'!C$17/E$4)*(E$6+(1440*E$5/7.48)/(2*E$7*E$8*E$10))*kro_b(E65,'Layer Calcs'!B$5,'Layer Calcs'!B$6,'Layer Calcs'!G$6,'Layer Calcs'!G$7,'Layer Calcs'!H$5,'Layer Calcs'!H$6,'Layer Calcs'!H$7)</f>
        <v>0.33734014884785335</v>
      </c>
    </row>
    <row r="66" spans="2:7" ht="12.75">
      <c r="B66" s="76">
        <v>37</v>
      </c>
      <c r="C66" s="80">
        <f t="shared" si="0"/>
        <v>10</v>
      </c>
      <c r="D66" s="144">
        <f t="shared" si="1"/>
        <v>3650</v>
      </c>
      <c r="E66" s="80">
        <f>bo_trench(D66,C$24,C$25,365*C$26,365*C$27,'Layer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6" s="145">
        <f>7.48*E$8*E$9*vo_recover(E66,C$24,'Layer Calcs'!B$5,'Layer Calcs'!B$6,'Layer Calcs'!B$7,'Layer Calcs'!F$5,'Layer Calcs'!F$6,'Layer Calcs'!F$7)</f>
        <v>39239.8814089043</v>
      </c>
      <c r="G66" s="145">
        <f>7.48*E$8*E66*(E$7*'Data Entry'!C$17/E$4)*(E$6+(1440*E$5/7.48)/(2*E$7*E$8*E$10))*kro_b(E66,'Layer Calcs'!B$5,'Layer Calcs'!B$6,'Layer Calcs'!G$6,'Layer Calcs'!G$7,'Layer Calcs'!H$5,'Layer Calcs'!H$6,'Layer Calcs'!H$7)</f>
        <v>0.33734014884785335</v>
      </c>
    </row>
    <row r="67" spans="2:7" ht="12.75">
      <c r="B67" s="76">
        <v>38</v>
      </c>
      <c r="C67" s="80">
        <f t="shared" si="0"/>
        <v>10</v>
      </c>
      <c r="D67" s="144">
        <f t="shared" si="1"/>
        <v>3650</v>
      </c>
      <c r="E67" s="80">
        <f>bo_trench(D67,C$24,C$25,365*C$26,365*C$27,'Layer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7" s="145">
        <f>7.48*E$8*E$9*vo_recover(E67,C$24,'Layer Calcs'!B$5,'Layer Calcs'!B$6,'Layer Calcs'!B$7,'Layer Calcs'!F$5,'Layer Calcs'!F$6,'Layer Calcs'!F$7)</f>
        <v>39239.8814089043</v>
      </c>
      <c r="G67" s="145">
        <f>7.48*E$8*E67*(E$7*'Data Entry'!C$17/E$4)*(E$6+(1440*E$5/7.48)/(2*E$7*E$8*E$10))*kro_b(E67,'Layer Calcs'!B$5,'Layer Calcs'!B$6,'Layer Calcs'!G$6,'Layer Calcs'!G$7,'Layer Calcs'!H$5,'Layer Calcs'!H$6,'Layer Calcs'!H$7)</f>
        <v>0.33734014884785335</v>
      </c>
    </row>
    <row r="68" spans="2:7" ht="12.75">
      <c r="B68" s="76">
        <v>39</v>
      </c>
      <c r="C68" s="80">
        <f t="shared" si="0"/>
        <v>10</v>
      </c>
      <c r="D68" s="144">
        <f t="shared" si="1"/>
        <v>3650</v>
      </c>
      <c r="E68" s="80">
        <f>bo_trench(D68,C$24,C$25,365*C$26,365*C$27,'Layer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8" s="145">
        <f>7.48*E$8*E$9*vo_recover(E68,C$24,'Layer Calcs'!B$5,'Layer Calcs'!B$6,'Layer Calcs'!B$7,'Layer Calcs'!F$5,'Layer Calcs'!F$6,'Layer Calcs'!F$7)</f>
        <v>39239.8814089043</v>
      </c>
      <c r="G68" s="145">
        <f>7.48*E$8*E68*(E$7*'Data Entry'!C$17/E$4)*(E$6+(1440*E$5/7.48)/(2*E$7*E$8*E$10))*kro_b(E68,'Layer Calcs'!B$5,'Layer Calcs'!B$6,'Layer Calcs'!G$6,'Layer Calcs'!G$7,'Layer Calcs'!H$5,'Layer Calcs'!H$6,'Layer Calcs'!H$7)</f>
        <v>0.33734014884785335</v>
      </c>
    </row>
    <row r="69" spans="2:7" ht="12.75">
      <c r="B69" s="76">
        <v>40</v>
      </c>
      <c r="C69" s="80">
        <f t="shared" si="0"/>
        <v>10</v>
      </c>
      <c r="D69" s="144">
        <f t="shared" si="1"/>
        <v>3650</v>
      </c>
      <c r="E69" s="80">
        <f>bo_trench(D69,C$24,C$25,365*C$26,365*C$27,'Layer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9" s="145">
        <f>7.48*E$8*E$9*vo_recover(E69,C$24,'Layer Calcs'!B$5,'Layer Calcs'!B$6,'Layer Calcs'!B$7,'Layer Calcs'!F$5,'Layer Calcs'!F$6,'Layer Calcs'!F$7)</f>
        <v>39239.8814089043</v>
      </c>
      <c r="G69" s="145">
        <f>7.48*E$8*E69*(E$7*'Data Entry'!C$17/E$4)*(E$6+(1440*E$5/7.48)/(2*E$7*E$8*E$10))*kro_b(E69,'Layer Calcs'!B$5,'Layer Calcs'!B$6,'Layer Calcs'!G$6,'Layer Calcs'!G$7,'Layer Calcs'!H$5,'Layer Calcs'!H$6,'Layer Calcs'!H$7)</f>
        <v>0.33734014884785335</v>
      </c>
    </row>
    <row r="70" spans="4:7" ht="12.75">
      <c r="D70" s="144"/>
      <c r="E70" s="80"/>
      <c r="F70" s="145"/>
      <c r="G70" s="145"/>
    </row>
    <row r="71" spans="4:7" ht="12.75">
      <c r="D71" s="144"/>
      <c r="E71" s="80"/>
      <c r="F71" s="145"/>
      <c r="G71" s="145"/>
    </row>
    <row r="72" spans="4:7" ht="12.75">
      <c r="D72" s="144"/>
      <c r="E72" s="80"/>
      <c r="F72" s="145"/>
      <c r="G72" s="145"/>
    </row>
    <row r="73" spans="4:7" ht="12.75">
      <c r="D73" s="144"/>
      <c r="E73" s="80"/>
      <c r="F73" s="145"/>
      <c r="G73" s="145"/>
    </row>
    <row r="74" spans="4:7" ht="12.75">
      <c r="D74" s="144"/>
      <c r="E74" s="80"/>
      <c r="F74" s="145"/>
      <c r="G74" s="145"/>
    </row>
    <row r="75" spans="4:7" ht="12.75">
      <c r="D75" s="144"/>
      <c r="E75" s="80"/>
      <c r="F75" s="145"/>
      <c r="G75" s="145"/>
    </row>
    <row r="76" spans="4:7" ht="12.75">
      <c r="D76" s="144"/>
      <c r="E76" s="80"/>
      <c r="F76" s="145"/>
      <c r="G76" s="145"/>
    </row>
    <row r="77" spans="4:7" ht="12.75">
      <c r="D77" s="144"/>
      <c r="E77" s="80"/>
      <c r="F77" s="145"/>
      <c r="G77" s="145"/>
    </row>
    <row r="78" spans="4:7" ht="12.75">
      <c r="D78" s="144"/>
      <c r="E78" s="80"/>
      <c r="F78" s="145"/>
      <c r="G78" s="145"/>
    </row>
    <row r="79" spans="4:7" ht="12.75">
      <c r="D79" s="144"/>
      <c r="E79" s="80"/>
      <c r="F79" s="145"/>
      <c r="G79" s="145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25">
      <selection activeCell="B3" sqref="B3"/>
    </sheetView>
  </sheetViews>
  <sheetFormatPr defaultColWidth="9.140625" defaultRowHeight="12.75"/>
  <cols>
    <col min="1" max="16384" width="9.140625" style="187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G1">
      <selection activeCell="S3" sqref="S3"/>
    </sheetView>
  </sheetViews>
  <sheetFormatPr defaultColWidth="9.140625" defaultRowHeight="12.75"/>
  <cols>
    <col min="1" max="16384" width="9.140625" style="187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18"/>
  <sheetViews>
    <sheetView workbookViewId="0" topLeftCell="A1">
      <selection activeCell="P5" sqref="P5"/>
    </sheetView>
  </sheetViews>
  <sheetFormatPr defaultColWidth="9.140625" defaultRowHeight="12.75"/>
  <cols>
    <col min="1" max="2" width="9.140625" style="187" customWidth="1"/>
    <col min="3" max="3" width="5.7109375" style="187" customWidth="1"/>
    <col min="4" max="4" width="7.140625" style="187" customWidth="1"/>
    <col min="5" max="5" width="6.00390625" style="187" customWidth="1"/>
    <col min="6" max="6" width="7.140625" style="187" customWidth="1"/>
    <col min="7" max="7" width="6.00390625" style="187" customWidth="1"/>
    <col min="8" max="8" width="7.28125" style="187" customWidth="1"/>
    <col min="9" max="9" width="5.57421875" style="187" customWidth="1"/>
    <col min="10" max="10" width="7.28125" style="187" customWidth="1"/>
    <col min="11" max="11" width="9.28125" style="187" customWidth="1"/>
    <col min="12" max="12" width="6.00390625" style="187" customWidth="1"/>
    <col min="13" max="13" width="8.421875" style="187" customWidth="1"/>
    <col min="14" max="16384" width="9.140625" style="187" customWidth="1"/>
  </cols>
  <sheetData>
    <row r="1" spans="1:13" ht="15.75">
      <c r="A1" s="204" t="s">
        <v>120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5.75">
      <c r="A2" s="205" t="s">
        <v>121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s="188" customFormat="1" ht="34.5" customHeight="1">
      <c r="A3" s="210" t="s">
        <v>122</v>
      </c>
      <c r="B3" s="210" t="s">
        <v>123</v>
      </c>
      <c r="C3" s="206" t="s">
        <v>140</v>
      </c>
      <c r="D3" s="207"/>
      <c r="E3" s="206" t="s">
        <v>141</v>
      </c>
      <c r="F3" s="207"/>
      <c r="G3" s="206" t="s">
        <v>124</v>
      </c>
      <c r="H3" s="207"/>
      <c r="I3" s="206" t="s">
        <v>142</v>
      </c>
      <c r="J3" s="207"/>
      <c r="K3" s="206" t="s">
        <v>143</v>
      </c>
      <c r="L3" s="209"/>
      <c r="M3" s="207"/>
    </row>
    <row r="4" spans="1:13" ht="15" customHeight="1">
      <c r="A4" s="211"/>
      <c r="B4" s="211"/>
      <c r="C4" s="189" t="s">
        <v>125</v>
      </c>
      <c r="D4" s="190" t="s">
        <v>126</v>
      </c>
      <c r="E4" s="190" t="s">
        <v>125</v>
      </c>
      <c r="F4" s="190" t="s">
        <v>126</v>
      </c>
      <c r="G4" s="190" t="s">
        <v>125</v>
      </c>
      <c r="H4" s="190" t="s">
        <v>126</v>
      </c>
      <c r="I4" s="190" t="s">
        <v>125</v>
      </c>
      <c r="J4" s="190" t="s">
        <v>126</v>
      </c>
      <c r="K4" s="191" t="s">
        <v>127</v>
      </c>
      <c r="L4" s="192" t="s">
        <v>125</v>
      </c>
      <c r="M4" s="192" t="s">
        <v>126</v>
      </c>
    </row>
    <row r="5" spans="1:20" ht="21.75" customHeight="1">
      <c r="A5" s="193" t="s">
        <v>128</v>
      </c>
      <c r="B5" s="194">
        <v>400</v>
      </c>
      <c r="C5" s="195">
        <v>0.38</v>
      </c>
      <c r="D5" s="195">
        <v>0.09</v>
      </c>
      <c r="E5" s="195">
        <v>0.068</v>
      </c>
      <c r="F5" s="195">
        <v>0.034</v>
      </c>
      <c r="G5" s="196">
        <v>1.09</v>
      </c>
      <c r="H5" s="196">
        <v>0.09</v>
      </c>
      <c r="I5" s="197">
        <f aca="true" t="shared" si="0" ref="I5:I16">P5/3.28</f>
        <v>0.24390243902439027</v>
      </c>
      <c r="J5" s="197">
        <f aca="true" t="shared" si="1" ref="J5:J16">Q5/3.28</f>
        <v>0.36585365853658536</v>
      </c>
      <c r="K5" s="196">
        <v>114</v>
      </c>
      <c r="L5" s="197">
        <f aca="true" t="shared" si="2" ref="L5:L16">3.28*S5</f>
        <v>0.15744</v>
      </c>
      <c r="M5" s="197">
        <f aca="true" t="shared" si="3" ref="M5:M16">3.28*T5</f>
        <v>0.328</v>
      </c>
      <c r="P5" s="198">
        <v>0.8</v>
      </c>
      <c r="Q5" s="198">
        <v>1.2</v>
      </c>
      <c r="S5" s="198">
        <v>0.048</v>
      </c>
      <c r="T5" s="198">
        <v>0.1</v>
      </c>
    </row>
    <row r="6" spans="1:20" ht="21.75" customHeight="1">
      <c r="A6" s="193" t="s">
        <v>129</v>
      </c>
      <c r="B6" s="195">
        <v>364</v>
      </c>
      <c r="C6" s="195">
        <v>0.41</v>
      </c>
      <c r="D6" s="195">
        <v>0.09</v>
      </c>
      <c r="E6" s="195">
        <v>0.095</v>
      </c>
      <c r="F6" s="199">
        <v>0.01</v>
      </c>
      <c r="G6" s="196">
        <v>1.31</v>
      </c>
      <c r="H6" s="196">
        <v>0.09</v>
      </c>
      <c r="I6" s="197">
        <f t="shared" si="0"/>
        <v>0.5792682926829268</v>
      </c>
      <c r="J6" s="197">
        <f t="shared" si="1"/>
        <v>0.4573170731707317</v>
      </c>
      <c r="K6" s="196">
        <v>345</v>
      </c>
      <c r="L6" s="197">
        <f t="shared" si="2"/>
        <v>0.20335999999999999</v>
      </c>
      <c r="M6" s="197">
        <f t="shared" si="3"/>
        <v>0.5576</v>
      </c>
      <c r="P6" s="198">
        <v>1.9</v>
      </c>
      <c r="Q6" s="198">
        <v>1.5</v>
      </c>
      <c r="S6" s="198">
        <v>0.062</v>
      </c>
      <c r="T6" s="198">
        <v>0.17</v>
      </c>
    </row>
    <row r="7" spans="1:20" ht="18.75" customHeight="1">
      <c r="A7" s="193" t="s">
        <v>130</v>
      </c>
      <c r="B7" s="195">
        <v>735</v>
      </c>
      <c r="C7" s="195">
        <v>0.43</v>
      </c>
      <c r="D7" s="197">
        <v>0.1</v>
      </c>
      <c r="E7" s="195">
        <v>0.078</v>
      </c>
      <c r="F7" s="195">
        <v>0.013</v>
      </c>
      <c r="G7" s="196">
        <v>1.56</v>
      </c>
      <c r="H7" s="196">
        <v>0.11</v>
      </c>
      <c r="I7" s="200">
        <f t="shared" si="0"/>
        <v>1.0975609756097562</v>
      </c>
      <c r="J7" s="197">
        <f t="shared" si="1"/>
        <v>0.6402439024390244</v>
      </c>
      <c r="K7" s="196">
        <v>735</v>
      </c>
      <c r="L7" s="195">
        <f t="shared" si="2"/>
        <v>0.82</v>
      </c>
      <c r="M7" s="197">
        <f t="shared" si="3"/>
        <v>1.4431999999999998</v>
      </c>
      <c r="P7" s="198">
        <v>3.6</v>
      </c>
      <c r="Q7" s="198">
        <v>2.1</v>
      </c>
      <c r="S7" s="198">
        <v>0.25</v>
      </c>
      <c r="T7" s="198">
        <v>0.44</v>
      </c>
    </row>
    <row r="8" spans="1:20" ht="20.25" customHeight="1">
      <c r="A8" s="193" t="s">
        <v>131</v>
      </c>
      <c r="B8" s="195">
        <v>315</v>
      </c>
      <c r="C8" s="195">
        <v>0.41</v>
      </c>
      <c r="D8" s="197">
        <v>0.09</v>
      </c>
      <c r="E8" s="195">
        <v>0.057</v>
      </c>
      <c r="F8" s="195">
        <v>0.015</v>
      </c>
      <c r="G8" s="196">
        <v>2.28</v>
      </c>
      <c r="H8" s="196">
        <v>0.27</v>
      </c>
      <c r="I8" s="200">
        <f t="shared" si="0"/>
        <v>3.780487804878049</v>
      </c>
      <c r="J8" s="200">
        <f t="shared" si="1"/>
        <v>1.3109756097560976</v>
      </c>
      <c r="K8" s="196">
        <v>315</v>
      </c>
      <c r="L8" s="201">
        <f t="shared" si="2"/>
        <v>11.479999999999999</v>
      </c>
      <c r="M8" s="200">
        <f t="shared" si="3"/>
        <v>8.856</v>
      </c>
      <c r="P8" s="198">
        <v>12.4</v>
      </c>
      <c r="Q8" s="198">
        <v>4.3</v>
      </c>
      <c r="S8" s="198">
        <v>3.5</v>
      </c>
      <c r="T8" s="198">
        <v>2.7</v>
      </c>
    </row>
    <row r="9" spans="1:20" ht="18.75" customHeight="1">
      <c r="A9" s="193" t="s">
        <v>132</v>
      </c>
      <c r="B9" s="195">
        <v>82</v>
      </c>
      <c r="C9" s="195">
        <v>0.46</v>
      </c>
      <c r="D9" s="195">
        <v>0.11</v>
      </c>
      <c r="E9" s="195">
        <v>0.034</v>
      </c>
      <c r="F9" s="199">
        <v>0.01</v>
      </c>
      <c r="G9" s="196">
        <v>1.37</v>
      </c>
      <c r="H9" s="196">
        <v>0.05</v>
      </c>
      <c r="I9" s="197">
        <f t="shared" si="0"/>
        <v>0.48780487804878053</v>
      </c>
      <c r="J9" s="197">
        <f t="shared" si="1"/>
        <v>0.21341463414634146</v>
      </c>
      <c r="K9" s="196">
        <v>88</v>
      </c>
      <c r="L9" s="197">
        <f t="shared" si="2"/>
        <v>0.19679999999999997</v>
      </c>
      <c r="M9" s="197">
        <f t="shared" si="3"/>
        <v>0.25911999999999996</v>
      </c>
      <c r="P9" s="198">
        <v>1.6</v>
      </c>
      <c r="Q9" s="198">
        <v>0.7</v>
      </c>
      <c r="S9" s="198">
        <v>0.06</v>
      </c>
      <c r="T9" s="198">
        <v>0.079</v>
      </c>
    </row>
    <row r="10" spans="1:20" ht="21.75" customHeight="1">
      <c r="A10" s="193" t="s">
        <v>133</v>
      </c>
      <c r="B10" s="195">
        <v>1093</v>
      </c>
      <c r="C10" s="195">
        <v>0.45</v>
      </c>
      <c r="D10" s="195">
        <v>0.08</v>
      </c>
      <c r="E10" s="195">
        <v>0.067</v>
      </c>
      <c r="F10" s="195">
        <v>0.015</v>
      </c>
      <c r="G10" s="196">
        <v>1.41</v>
      </c>
      <c r="H10" s="196">
        <v>0.12</v>
      </c>
      <c r="I10" s="197">
        <f t="shared" si="0"/>
        <v>0.6097560975609756</v>
      </c>
      <c r="J10" s="197">
        <f t="shared" si="1"/>
        <v>0.36585365853658536</v>
      </c>
      <c r="K10" s="196">
        <v>1093</v>
      </c>
      <c r="L10" s="197">
        <f t="shared" si="2"/>
        <v>0.36079999999999995</v>
      </c>
      <c r="M10" s="197">
        <f t="shared" si="3"/>
        <v>0.9839999999999999</v>
      </c>
      <c r="P10" s="198">
        <v>2</v>
      </c>
      <c r="Q10" s="198">
        <v>1.2</v>
      </c>
      <c r="S10" s="198">
        <v>0.11</v>
      </c>
      <c r="T10" s="198">
        <v>0.3</v>
      </c>
    </row>
    <row r="11" spans="1:20" ht="23.25" customHeight="1">
      <c r="A11" s="193" t="s">
        <v>134</v>
      </c>
      <c r="B11" s="195">
        <v>374</v>
      </c>
      <c r="C11" s="195">
        <v>0.36</v>
      </c>
      <c r="D11" s="195">
        <v>0.07</v>
      </c>
      <c r="E11" s="199">
        <v>0.07</v>
      </c>
      <c r="F11" s="195">
        <v>0.023</v>
      </c>
      <c r="G11" s="196">
        <v>1.09</v>
      </c>
      <c r="H11" s="196">
        <v>0.06</v>
      </c>
      <c r="I11" s="197">
        <f t="shared" si="0"/>
        <v>0.1524390243902439</v>
      </c>
      <c r="J11" s="197">
        <f t="shared" si="1"/>
        <v>0.1524390243902439</v>
      </c>
      <c r="K11" s="196">
        <v>126</v>
      </c>
      <c r="L11" s="199">
        <f t="shared" si="2"/>
        <v>0.015743999999999998</v>
      </c>
      <c r="M11" s="199">
        <f t="shared" si="3"/>
        <v>0.08528</v>
      </c>
      <c r="P11" s="198">
        <v>0.5</v>
      </c>
      <c r="Q11" s="198">
        <v>0.5</v>
      </c>
      <c r="S11" s="198">
        <v>0.0048</v>
      </c>
      <c r="T11" s="198">
        <v>0.026</v>
      </c>
    </row>
    <row r="12" spans="1:20" ht="33.75" customHeight="1">
      <c r="A12" s="193" t="s">
        <v>135</v>
      </c>
      <c r="B12" s="195">
        <v>641</v>
      </c>
      <c r="C12" s="195">
        <v>0.43</v>
      </c>
      <c r="D12" s="195">
        <v>0.07</v>
      </c>
      <c r="E12" s="195">
        <v>0.089</v>
      </c>
      <c r="F12" s="195">
        <v>0.009</v>
      </c>
      <c r="G12" s="196">
        <v>1.23</v>
      </c>
      <c r="H12" s="196">
        <v>0.06</v>
      </c>
      <c r="I12" s="197">
        <f t="shared" si="0"/>
        <v>0.3048780487804878</v>
      </c>
      <c r="J12" s="197">
        <f t="shared" si="1"/>
        <v>0.18292682926829268</v>
      </c>
      <c r="K12" s="196">
        <v>592</v>
      </c>
      <c r="L12" s="199">
        <f t="shared" si="2"/>
        <v>0.055760000000000004</v>
      </c>
      <c r="M12" s="197">
        <f t="shared" si="3"/>
        <v>0.15088</v>
      </c>
      <c r="P12" s="198">
        <v>1</v>
      </c>
      <c r="Q12" s="198">
        <v>0.6</v>
      </c>
      <c r="S12" s="198">
        <v>0.017</v>
      </c>
      <c r="T12" s="198">
        <v>0.046</v>
      </c>
    </row>
    <row r="13" spans="1:20" ht="20.25" customHeight="1">
      <c r="A13" s="193" t="s">
        <v>136</v>
      </c>
      <c r="B13" s="195">
        <v>246</v>
      </c>
      <c r="C13" s="195">
        <v>0.43</v>
      </c>
      <c r="D13" s="195">
        <v>0.06</v>
      </c>
      <c r="E13" s="195">
        <v>0.045</v>
      </c>
      <c r="F13" s="199">
        <v>0.01</v>
      </c>
      <c r="G13" s="196">
        <v>2.68</v>
      </c>
      <c r="H13" s="196">
        <v>0.29</v>
      </c>
      <c r="I13" s="200">
        <f t="shared" si="0"/>
        <v>4.420731707317073</v>
      </c>
      <c r="J13" s="197">
        <f t="shared" si="1"/>
        <v>0.8841463414634146</v>
      </c>
      <c r="K13" s="196">
        <v>246</v>
      </c>
      <c r="L13" s="201">
        <f t="shared" si="2"/>
        <v>23.287999999999997</v>
      </c>
      <c r="M13" s="201">
        <f t="shared" si="3"/>
        <v>12.136</v>
      </c>
      <c r="P13" s="198">
        <v>14.5</v>
      </c>
      <c r="Q13" s="198">
        <v>2.9</v>
      </c>
      <c r="S13" s="198">
        <v>7.1</v>
      </c>
      <c r="T13" s="198">
        <v>3.7</v>
      </c>
    </row>
    <row r="14" spans="1:20" ht="21.75" customHeight="1">
      <c r="A14" s="193" t="s">
        <v>137</v>
      </c>
      <c r="B14" s="195">
        <v>46</v>
      </c>
      <c r="C14" s="195">
        <v>0.38</v>
      </c>
      <c r="D14" s="195">
        <v>0.05</v>
      </c>
      <c r="E14" s="199">
        <v>0.1</v>
      </c>
      <c r="F14" s="195">
        <v>0.013</v>
      </c>
      <c r="G14" s="196">
        <v>1.23</v>
      </c>
      <c r="H14" s="202">
        <v>0.1</v>
      </c>
      <c r="I14" s="197">
        <f t="shared" si="0"/>
        <v>0.8231707317073171</v>
      </c>
      <c r="J14" s="197">
        <f t="shared" si="1"/>
        <v>0.5182926829268293</v>
      </c>
      <c r="K14" s="196">
        <v>46</v>
      </c>
      <c r="L14" s="199">
        <f t="shared" si="2"/>
        <v>0.09512</v>
      </c>
      <c r="M14" s="197">
        <f t="shared" si="3"/>
        <v>0.21976</v>
      </c>
      <c r="P14" s="198">
        <v>2.7</v>
      </c>
      <c r="Q14" s="198">
        <v>1.7</v>
      </c>
      <c r="S14" s="198">
        <v>0.029</v>
      </c>
      <c r="T14" s="198">
        <v>0.067</v>
      </c>
    </row>
    <row r="15" spans="1:20" ht="32.25" customHeight="1">
      <c r="A15" s="193" t="s">
        <v>138</v>
      </c>
      <c r="B15" s="195">
        <v>214</v>
      </c>
      <c r="C15" s="195">
        <v>0.39</v>
      </c>
      <c r="D15" s="195">
        <v>0.07</v>
      </c>
      <c r="E15" s="199">
        <v>0.1</v>
      </c>
      <c r="F15" s="195">
        <v>0.006</v>
      </c>
      <c r="G15" s="196">
        <v>1.48</v>
      </c>
      <c r="H15" s="196">
        <v>0.13</v>
      </c>
      <c r="I15" s="200">
        <f t="shared" si="0"/>
        <v>1.7987804878048783</v>
      </c>
      <c r="J15" s="200">
        <f t="shared" si="1"/>
        <v>1.1585365853658536</v>
      </c>
      <c r="K15" s="196">
        <v>214</v>
      </c>
      <c r="L15" s="200">
        <f t="shared" si="2"/>
        <v>1.0168</v>
      </c>
      <c r="M15" s="200">
        <f t="shared" si="3"/>
        <v>2.1648</v>
      </c>
      <c r="P15" s="198">
        <v>5.9</v>
      </c>
      <c r="Q15" s="198">
        <v>3.8</v>
      </c>
      <c r="S15" s="198">
        <v>0.31</v>
      </c>
      <c r="T15" s="198">
        <v>0.66</v>
      </c>
    </row>
    <row r="16" spans="1:20" ht="20.25" customHeight="1">
      <c r="A16" s="193" t="s">
        <v>139</v>
      </c>
      <c r="B16" s="195">
        <v>1183</v>
      </c>
      <c r="C16" s="195">
        <v>0.41</v>
      </c>
      <c r="D16" s="195">
        <v>0.09</v>
      </c>
      <c r="E16" s="195">
        <v>0.065</v>
      </c>
      <c r="F16" s="195">
        <v>0.017</v>
      </c>
      <c r="G16" s="196">
        <v>1.89</v>
      </c>
      <c r="H16" s="196">
        <v>0.17</v>
      </c>
      <c r="I16" s="200">
        <f t="shared" si="0"/>
        <v>2.2865853658536586</v>
      </c>
      <c r="J16" s="200">
        <f t="shared" si="1"/>
        <v>1.128048780487805</v>
      </c>
      <c r="K16" s="196">
        <v>1183</v>
      </c>
      <c r="L16" s="200">
        <f t="shared" si="2"/>
        <v>3.608</v>
      </c>
      <c r="M16" s="200">
        <f t="shared" si="3"/>
        <v>4.592</v>
      </c>
      <c r="P16" s="198">
        <v>7.5</v>
      </c>
      <c r="Q16" s="198">
        <v>3.7</v>
      </c>
      <c r="S16" s="198">
        <v>1.1</v>
      </c>
      <c r="T16" s="198">
        <v>1.4</v>
      </c>
    </row>
    <row r="18" spans="1:13" ht="26.25" customHeight="1">
      <c r="A18" s="208" t="s">
        <v>144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</row>
  </sheetData>
  <sheetProtection password="CC02" sheet="1" objects="1" scenarios="1"/>
  <mergeCells count="10">
    <mergeCell ref="A18:M18"/>
    <mergeCell ref="K3:M3"/>
    <mergeCell ref="A3:A4"/>
    <mergeCell ref="B3:B4"/>
    <mergeCell ref="A1:M1"/>
    <mergeCell ref="A2:M2"/>
    <mergeCell ref="C3:D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sufiorello</cp:lastModifiedBy>
  <cp:lastPrinted>2002-11-08T03:09:17Z</cp:lastPrinted>
  <dcterms:created xsi:type="dcterms:W3CDTF">1997-06-21T19:21:32Z</dcterms:created>
  <dcterms:modified xsi:type="dcterms:W3CDTF">2004-10-21T16:14:32Z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274483486</vt:i4>
  </property>
  <property fmtid="{D5CDD505-2E9C-101B-9397-08002B2CF9AE}" pid="3" name="_EmailSubject">
    <vt:lpwstr>Protected spreadsheets with changes</vt:lpwstr>
  </property>
  <property fmtid="{D5CDD505-2E9C-101B-9397-08002B2CF9AE}" pid="4" name="_AuthorEmail">
    <vt:lpwstr>charbeneau@mail.utexas.edu</vt:lpwstr>
  </property>
  <property fmtid="{D5CDD505-2E9C-101B-9397-08002B2CF9AE}" pid="5" name="_AuthorEmailDisplayName">
    <vt:lpwstr>Randy Charbeneau</vt:lpwstr>
  </property>
</Properties>
</file>