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drawings/drawing1.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7530" windowHeight="4815" tabRatio="862" activeTab="1"/>
  </bookViews>
  <sheets>
    <sheet name="About This Model" sheetId="1" r:id="rId1"/>
    <sheet name="Wksht 1. Data Inputs" sheetId="2" r:id="rId2"/>
    <sheet name="Wksht 2.  Environmental Impacts" sheetId="3" r:id="rId3"/>
    <sheet name="Wksht 3. Conversion Factors" sheetId="4" r:id="rId4"/>
    <sheet name="Wksht 4. Calculations" sheetId="5" r:id="rId5"/>
    <sheet name="Wksht 5. Fact Sheet Outputs" sheetId="6" r:id="rId6"/>
  </sheets>
  <definedNames>
    <definedName name="_edn1" localSheetId="0">'About This Model'!#REF!</definedName>
    <definedName name="_ednref1" localSheetId="0">'About This Model'!$A$52</definedName>
  </definedNames>
  <calcPr fullCalcOnLoad="1"/>
</workbook>
</file>

<file path=xl/comments2.xml><?xml version="1.0" encoding="utf-8"?>
<comments xmlns="http://schemas.openxmlformats.org/spreadsheetml/2006/main">
  <authors>
    <author>Jess and Tony Wozniak</author>
  </authors>
  <commentList>
    <comment ref="B53" authorId="0">
      <text>
        <r>
          <rPr>
            <b/>
            <sz val="8"/>
            <rFont val="Tahoma"/>
            <family val="0"/>
          </rPr>
          <t>Includes: car batteries, commingled containers, fluorescent bulbs, HHW, mattresses, antifreeze, textiles, furniture, batteries, motor oil, fibers and other recyclables.</t>
        </r>
        <r>
          <rPr>
            <sz val="8"/>
            <rFont val="Tahoma"/>
            <family val="0"/>
          </rPr>
          <t xml:space="preserve">
</t>
        </r>
      </text>
    </comment>
  </commentList>
</comments>
</file>

<file path=xl/comments3.xml><?xml version="1.0" encoding="utf-8"?>
<comments xmlns="http://schemas.openxmlformats.org/spreadsheetml/2006/main">
  <authors>
    <author>Anne Choate</author>
    <author>Lynn Rubinstein</author>
  </authors>
  <commentList>
    <comment ref="E304" authorId="0">
      <text>
        <r>
          <rPr>
            <sz val="8"/>
            <rFont val="Tahoma"/>
            <family val="0"/>
          </rPr>
          <t>Note that these percentages are not additive.</t>
        </r>
      </text>
    </comment>
    <comment ref="C624" authorId="1">
      <text>
        <r>
          <rPr>
            <sz val="8"/>
            <rFont val="Tahoma"/>
            <family val="2"/>
          </rPr>
          <t>Note that these percentages are not additive.</t>
        </r>
      </text>
    </comment>
    <comment ref="G624" authorId="1">
      <text>
        <r>
          <rPr>
            <sz val="8"/>
            <rFont val="Tahoma"/>
            <family val="0"/>
          </rPr>
          <t>Note that these percentages are not additive.</t>
        </r>
      </text>
    </comment>
    <comment ref="F623" authorId="1">
      <text>
        <r>
          <rPr>
            <sz val="8"/>
            <rFont val="Tahoma"/>
            <family val="2"/>
          </rPr>
          <t>Note generation information is only available for coal and nuclear at this time.</t>
        </r>
      </text>
    </comment>
  </commentList>
</comments>
</file>

<file path=xl/comments4.xml><?xml version="1.0" encoding="utf-8"?>
<comments xmlns="http://schemas.openxmlformats.org/spreadsheetml/2006/main">
  <authors>
    <author>DLekas</author>
  </authors>
  <commentList>
    <comment ref="A98" authorId="0">
      <text>
        <r>
          <rPr>
            <sz val="8"/>
            <rFont val="Tahoma"/>
            <family val="0"/>
          </rPr>
          <t xml:space="preserve">average delivered energy consumption per U.S household in 2003
</t>
        </r>
      </text>
    </comment>
    <comment ref="B98" authorId="0">
      <text>
        <r>
          <rPr>
            <sz val="8"/>
            <rFont val="Tahoma"/>
            <family val="0"/>
          </rPr>
          <t>Used in the calculation of "Energy Savings in Per Household Equivalent (# of houses/year)" in Table 7 on the Environmental Impacts worksheet.</t>
        </r>
      </text>
    </comment>
    <comment ref="A16" authorId="0">
      <text>
        <r>
          <rPr>
            <sz val="8"/>
            <rFont val="Tahoma"/>
            <family val="0"/>
          </rPr>
          <t>steel can emission factors used as proxy for ferrous scrap metal</t>
        </r>
      </text>
    </comment>
    <comment ref="A59" authorId="0">
      <text>
        <r>
          <rPr>
            <sz val="8"/>
            <rFont val="Tahoma"/>
            <family val="0"/>
          </rPr>
          <t>steel can emission factors used as proxy for ferrous scrap metal</t>
        </r>
      </text>
    </comment>
    <comment ref="A15" authorId="0">
      <text>
        <r>
          <rPr>
            <sz val="8"/>
            <rFont val="Tahoma"/>
            <family val="0"/>
          </rPr>
          <t>aluminum can emission factors used as proxy for aluminum scrap metal</t>
        </r>
      </text>
    </comment>
    <comment ref="A58" authorId="0">
      <text>
        <r>
          <rPr>
            <sz val="8"/>
            <rFont val="Tahoma"/>
            <family val="0"/>
          </rPr>
          <t>aluminum can emission factors used as proxy for aluminum scrap metal</t>
        </r>
      </text>
    </comment>
  </commentList>
</comments>
</file>

<file path=xl/comments5.xml><?xml version="1.0" encoding="utf-8"?>
<comments xmlns="http://schemas.openxmlformats.org/spreadsheetml/2006/main">
  <authors>
    <author>DLekas</author>
    <author>Jessica Wozniak</author>
  </authors>
  <commentList>
    <comment ref="B18" authorId="0">
      <text>
        <r>
          <rPr>
            <sz val="8"/>
            <rFont val="Tahoma"/>
            <family val="0"/>
          </rPr>
          <t>These numbers are used for the 'Amount of Materials Recycled' bar chart in the Environmental Impacts Worksheet.</t>
        </r>
      </text>
    </comment>
    <comment ref="B8" authorId="0">
      <text>
        <r>
          <rPr>
            <sz val="8"/>
            <rFont val="Tahoma"/>
            <family val="0"/>
          </rPr>
          <t>These data are used in the 'Materials Management Overview' pie chart in the Environmental Impacts Worksheet.</t>
        </r>
      </text>
    </comment>
    <comment ref="B45" authorId="0">
      <text>
        <r>
          <rPr>
            <sz val="8"/>
            <rFont val="Tahoma"/>
            <family val="0"/>
          </rPr>
          <t>These data are used in the bar chart for 'Impacts of Recycling and Disposal on GHG' in the Environmental Impacts Worksheet.</t>
        </r>
      </text>
    </comment>
    <comment ref="B14" authorId="1">
      <text>
        <r>
          <rPr>
            <sz val="8"/>
            <rFont val="Tahoma"/>
            <family val="0"/>
          </rPr>
          <t>Used throughout the Calculator.</t>
        </r>
      </text>
    </comment>
    <comment ref="B55" authorId="0">
      <text>
        <r>
          <rPr>
            <sz val="8"/>
            <rFont val="Tahoma"/>
            <family val="0"/>
          </rPr>
          <t>These data are used in the bar chart for 'Impacts of Recycling and Disposal on Energy Use' in the Environmental Impacts Worksheet.</t>
        </r>
      </text>
    </comment>
    <comment ref="B60" authorId="1">
      <text>
        <r>
          <rPr>
            <sz val="8"/>
            <rFont val="Tahoma"/>
            <family val="0"/>
          </rPr>
          <t>These data are used in the bar chart for 'Energy Savings Comparisons' in the Environmental Impacts Worksheet.</t>
        </r>
      </text>
    </comment>
    <comment ref="B65" authorId="1">
      <text>
        <r>
          <rPr>
            <sz val="8"/>
            <rFont val="Tahoma"/>
            <family val="0"/>
          </rPr>
          <t>These data are used in the bar chart for 'Energy Savings Comparisons' in the Environmental Impacts Worksheet.</t>
        </r>
      </text>
    </comment>
    <comment ref="B27" authorId="0">
      <text>
        <r>
          <rPr>
            <sz val="8"/>
            <rFont val="Tahoma"/>
            <family val="0"/>
          </rPr>
          <t>These numbers are used for the 'Amount of Materials Source Reduced &amp; Reused' bar chart in the Environmental Impacts Worksheet.</t>
        </r>
      </text>
    </comment>
    <comment ref="B35" authorId="0">
      <text>
        <r>
          <rPr>
            <sz val="8"/>
            <rFont val="Tahoma"/>
            <family val="0"/>
          </rPr>
          <t>These data are used in the 'How is Waste Diverted?' pie chart in the Environmental Impacts Worksheet.</t>
        </r>
      </text>
    </comment>
    <comment ref="B40" authorId="0">
      <text>
        <r>
          <rPr>
            <sz val="8"/>
            <rFont val="Tahoma"/>
            <family val="0"/>
          </rPr>
          <t>These data are used in the bar chart for 'Impacts of Source Reduction/Reuse and Disposal on GHG' in the Environmental Impacts Worksheet.</t>
        </r>
      </text>
    </comment>
    <comment ref="B50" authorId="0">
      <text>
        <r>
          <rPr>
            <sz val="8"/>
            <rFont val="Tahoma"/>
            <family val="0"/>
          </rPr>
          <t>These data are used in the bar chart for 'Impacts of Source Reduction/Reuse and Disposal on Energy Use' in the Environmental Impacts Worksheet.</t>
        </r>
      </text>
    </comment>
    <comment ref="B70" authorId="0">
      <text>
        <r>
          <rPr>
            <sz val="8"/>
            <rFont val="Tahoma"/>
            <family val="0"/>
          </rPr>
          <t>These data are used in the bar chart for 'Impacts of Recycling and Disposal a Typical Curbside Set-Out Container on GHGl' in the Environmental Impacts Worksheet.</t>
        </r>
      </text>
    </comment>
    <comment ref="B75" authorId="0">
      <text>
        <r>
          <rPr>
            <sz val="8"/>
            <rFont val="Tahoma"/>
            <family val="0"/>
          </rPr>
          <t>These data are used in the bar chart for Impacts of Recycling and Disposal a Typical Curbside Set-Out Container on Energy Use' in the Environmental Impacts Worksheet.</t>
        </r>
      </text>
    </comment>
  </commentList>
</comments>
</file>

<file path=xl/sharedStrings.xml><?xml version="1.0" encoding="utf-8"?>
<sst xmlns="http://schemas.openxmlformats.org/spreadsheetml/2006/main" count="1287" uniqueCount="489">
  <si>
    <r>
      <t>Table 2. Reductions in Greenhouse Gas Emissions as a Result of Source Reduction and Reuse</t>
    </r>
    <r>
      <rPr>
        <sz val="12"/>
        <rFont val="Arial"/>
        <family val="2"/>
      </rPr>
      <t xml:space="preserve"> is based on the data and methodology developed by the U.S. EPA</t>
    </r>
    <r>
      <rPr>
        <vertAlign val="superscript"/>
        <sz val="12"/>
        <rFont val="Arial"/>
        <family val="2"/>
      </rPr>
      <t>1</t>
    </r>
    <r>
      <rPr>
        <sz val="12"/>
        <rFont val="Arial"/>
        <family val="2"/>
      </rPr>
      <t>.  EPA based its calculations on data from a number of academic, government, and private sector sources.  For details on these data sources, see EPA’s “Solid Waste Management and Greenhouse Gases: A Life-Cycle Assessment of Emissions and Sinks” report</t>
    </r>
    <r>
      <rPr>
        <vertAlign val="superscript"/>
        <sz val="12"/>
        <rFont val="Arial"/>
        <family val="2"/>
      </rPr>
      <t>2</t>
    </r>
    <r>
      <rPr>
        <sz val="12"/>
        <rFont val="Arial"/>
        <family val="2"/>
      </rPr>
      <t xml:space="preserve">.  </t>
    </r>
  </si>
  <si>
    <r>
      <t>Table 3. Reductions in Greenhouse Gas Emissions as a Result of Recycling</t>
    </r>
    <r>
      <rPr>
        <sz val="12"/>
        <rFont val="Arial"/>
        <family val="2"/>
      </rPr>
      <t xml:space="preserve"> is based on the data and methodology developed by the U.S. EPA</t>
    </r>
    <r>
      <rPr>
        <vertAlign val="superscript"/>
        <sz val="12"/>
        <rFont val="Arial"/>
        <family val="2"/>
      </rPr>
      <t>1</t>
    </r>
    <r>
      <rPr>
        <sz val="12"/>
        <rFont val="Arial"/>
        <family val="2"/>
      </rPr>
      <t>.  EPA based its calculations on data from a number of academic, government, and private sector sources.  For details on these data sources, see EPA’s “Solid Waste Management and Greenhouse Gases: A Life-Cycle Assessment of Emissions and Sinks” report</t>
    </r>
    <r>
      <rPr>
        <vertAlign val="superscript"/>
        <sz val="12"/>
        <rFont val="Arial"/>
        <family val="2"/>
      </rPr>
      <t>2</t>
    </r>
    <r>
      <rPr>
        <sz val="12"/>
        <rFont val="Arial"/>
        <family val="2"/>
      </rPr>
      <t xml:space="preserve">.  </t>
    </r>
  </si>
  <si>
    <t>EPA’s data was used in NERC’s Calculator because it is fast becoming a standardized source for greenhouse gas estimates used by states and other entities throughout the nation and because it represented recent revisions based on a broad review of sources.  However, it should be noted that other sources are independently investigating the life-cycle environmental impacts of various industry processes and waste management practices; most notably the Environmental Defense Fund, International Council for Local Environmental Initiatives (ICLEI), EPA’s Office of Research and Development, and Ecobilan.</t>
  </si>
  <si>
    <r>
      <t xml:space="preserve">Table 4.  Greenhouse Gas Savings Comparisons </t>
    </r>
    <r>
      <rPr>
        <sz val="12"/>
        <rFont val="Arial"/>
        <family val="2"/>
      </rPr>
      <t xml:space="preserve">compares the total greenhouse gas reduction estimate from </t>
    </r>
    <r>
      <rPr>
        <i/>
        <sz val="12"/>
        <rFont val="Arial"/>
        <family val="2"/>
      </rPr>
      <t>Table 2. Reductions in Greenhouse Gas Emissions as a Result of Source Reduction and Reuse</t>
    </r>
    <r>
      <rPr>
        <sz val="12"/>
        <rFont val="Arial"/>
        <family val="2"/>
      </rPr>
      <t xml:space="preserve"> and </t>
    </r>
    <r>
      <rPr>
        <i/>
        <sz val="12"/>
        <rFont val="Arial"/>
        <family val="2"/>
      </rPr>
      <t>Table 3. Reductions in Greenhouse Gas Emissions as a Result of Recycling</t>
    </r>
    <r>
      <rPr>
        <sz val="12"/>
        <rFont val="Arial"/>
        <family val="2"/>
      </rPr>
      <t xml:space="preserve"> to several other sources and sectors.  </t>
    </r>
  </si>
  <si>
    <r>
      <t>Table 7.  Energy Savings Comparisons</t>
    </r>
    <r>
      <rPr>
        <sz val="12"/>
        <rFont val="Arial"/>
        <family val="2"/>
      </rPr>
      <t xml:space="preserve"> compares the total energy savings estimate from </t>
    </r>
    <r>
      <rPr>
        <i/>
        <sz val="12"/>
        <rFont val="Arial"/>
        <family val="2"/>
      </rPr>
      <t>Table 5a. Energy Savings as a Result of Source Reduction and Reuse</t>
    </r>
    <r>
      <rPr>
        <sz val="12"/>
        <rFont val="Arial"/>
        <family val="2"/>
      </rPr>
      <t xml:space="preserve"> and </t>
    </r>
    <r>
      <rPr>
        <i/>
        <sz val="12"/>
        <rFont val="Arial"/>
        <family val="2"/>
      </rPr>
      <t>Table 6a. Energy Savings as a Result of Recycling to Statewide Energy Consumption, Statewide Energy Expenditures, and Statewide Energy Generation.</t>
    </r>
    <r>
      <rPr>
        <sz val="12"/>
        <rFont val="Arial"/>
        <family val="2"/>
      </rPr>
      <t xml:space="preserve">   </t>
    </r>
  </si>
  <si>
    <r>
      <t xml:space="preserve">Table 12. Natural Resource Savings as a Result of Steel Source Reduction and Reuse </t>
    </r>
    <r>
      <rPr>
        <sz val="12"/>
        <rFont val="Arial"/>
        <family val="2"/>
      </rPr>
      <t xml:space="preserve">presents estimates of resource savings associated with ferrous steel source reduction and reuse (including: iron ore, coal and limestone). </t>
    </r>
  </si>
  <si>
    <r>
      <t xml:space="preserve">Table 14. Number of Tree Seedlings Grown for 10 Years as a Result of Paper Recycling  </t>
    </r>
    <r>
      <rPr>
        <sz val="12"/>
        <rFont val="Arial"/>
        <family val="2"/>
      </rPr>
      <t xml:space="preserve">presents estimates of resource savings (in terms of tree growth and forest sequestration) associated with paper recycling. The calculation involves  taking U.S. EPA's forest carbon sequestration value and dividing it by a tree seedling value. This is based on a theory that any decrease in the production of virgin paper means that fewer trees need to be cut down. Hence, depending on assumptions about other factors that effect forest practices, there may be more carbon left standing in the woods for other trees to grow. </t>
    </r>
  </si>
  <si>
    <t xml:space="preserve">On this sheet, enter your area's material management data in the blue cells.  </t>
  </si>
  <si>
    <r>
      <t>Whole computers only (monitor, CPU, mouse and keyboard); no other electronics.</t>
    </r>
    <r>
      <rPr>
        <i/>
        <vertAlign val="superscript"/>
        <sz val="8"/>
        <rFont val="Arial"/>
        <family val="2"/>
      </rPr>
      <t>4</t>
    </r>
  </si>
  <si>
    <t xml:space="preserve">Only the tonnage recycled is reported in the Environmental Impacts. Be aware of double-counting aggregate and clay bricks.  </t>
  </si>
  <si>
    <t xml:space="preserve">Only the tonnage source reduced is reported in the Environmental Impacts. Be aware of double-counting aggregate and clay bricks.   </t>
  </si>
  <si>
    <r>
      <t xml:space="preserve">6 </t>
    </r>
    <r>
      <rPr>
        <sz val="8"/>
        <rFont val="Arial"/>
        <family val="2"/>
      </rPr>
      <t>This Calculator uses U.S. EPA's WARM tool definition of source reduction.  It is defined as an activity that reduces the need for the production of additional material; reuse or reduce (but is not a recycling activity with industrial process emissions).  Examples would be light-weighting (e.g., using 25 percent less aluminum to produce the same product) or the reuse of a material (e.g., dismantling a building and reusing the 2x4 studs in a new structure).  Other examples include book swaps and computer donations (assumes that new books and new computers would have been needed without these actions.)  Therefore, reuse and reduce are used interchangeably.</t>
    </r>
    <r>
      <rPr>
        <vertAlign val="superscript"/>
        <sz val="8"/>
        <rFont val="Arial"/>
        <family val="2"/>
      </rPr>
      <t xml:space="preserve">4  </t>
    </r>
  </si>
  <si>
    <t xml:space="preserve">Obtain needed data for this worksheet from the specified websites.  </t>
  </si>
  <si>
    <r>
      <t>GHG Emissions 
(Million Metric Tons CO</t>
    </r>
    <r>
      <rPr>
        <b/>
        <vertAlign val="subscript"/>
        <sz val="12"/>
        <rFont val="Arial"/>
        <family val="2"/>
      </rPr>
      <t>2</t>
    </r>
    <r>
      <rPr>
        <b/>
        <sz val="12"/>
        <rFont val="Arial"/>
        <family val="2"/>
      </rPr>
      <t>)</t>
    </r>
    <r>
      <rPr>
        <b/>
        <vertAlign val="superscript"/>
        <sz val="12"/>
        <rFont val="Arial"/>
        <family val="2"/>
      </rPr>
      <t>7</t>
    </r>
  </si>
  <si>
    <t xml:space="preserve">At website, first either register or login at the top left hand corner of your screen. Click on "CAIT - U.S." under the heading "Access CAIT Products" (seen at the center of screen.)  Click on "State/Regions to Display" under the heading "Customize" (seen at the left-hand side of screen).  Use the "&gt;&gt;" and "&lt;&lt;" to find your state in the box on the right-hand side; then click on  "Display My States/Regions in Tables;" and finally click on "Save Changes." Click on "Compare Sectors" under the heading "Analysis" (seen at the left-hand side of screen.)     </t>
  </si>
  <si>
    <t xml:space="preserve">There are several pathways to the desired data.  One way is to access the PDF files via the links under the subheading "Consumption." These links are "Total", "Residential", "Commercial", "Industrial", and "Transportation."  Once in the document, make sure you look at  “Trillion BTU.” In each case, the number you are looking for is the total, which you can find in the far right column of the table. </t>
  </si>
  <si>
    <t>There are several pathways to the desired data.  One way is to access the PDF files via the "Total" link under the subheading "Consumption."   From left to right, you will find the total consumption of coal, natural gas, petroleum (look for the Total number), nuclear and hydroelectric energy. Once in the document, make sure you look at  “Trillion BTU.”</t>
  </si>
  <si>
    <t xml:space="preserve">There are several pathways to the desired data.  One way is to access the PDF files via the links, under the subheading "Expenditures." These links are "Total", "Residential", "Commercial", "Industrial", and "Transportation". Once in the document, make sure you look at “Million Nominal Dollars.” In each case, the number you are looking for is the total, which you can find in the far right column of the table. </t>
  </si>
  <si>
    <t xml:space="preserve">Chart 1.  Materials Management Overview </t>
  </si>
  <si>
    <t>Organics</t>
  </si>
  <si>
    <t xml:space="preserve">Chart 2.  Reductions in Greenhouse Gas Emissions as a Result of Source Reduction and Reuse </t>
  </si>
  <si>
    <t xml:space="preserve">Chart 3.  Reductions in Greenhouse Gas Emissions as a Result of Recycling </t>
  </si>
  <si>
    <t xml:space="preserve">Chart 5a.  Energy Savings as a Result of Source Reduction and Reuse </t>
  </si>
  <si>
    <t xml:space="preserve">Chart 6a.  Energy Savings as a Result of Recycling  </t>
  </si>
  <si>
    <t xml:space="preserve">Chart 7.  Energy Savings Comparisons </t>
  </si>
  <si>
    <r>
      <t>Greenhouse Gas Emissions Associated with Source Reduction and Reuse (MTCE)</t>
    </r>
    <r>
      <rPr>
        <b/>
        <vertAlign val="superscript"/>
        <sz val="10"/>
        <rFont val="Arial"/>
        <family val="2"/>
      </rPr>
      <t>1</t>
    </r>
  </si>
  <si>
    <t>Note: The negative numbers denote energy savings.</t>
  </si>
  <si>
    <r>
      <t>Chart 8.  Reductions in Greenhouse Gas Emissions as of a Result of Recycling Items in a Typical Curbside Set-Out Container</t>
    </r>
    <r>
      <rPr>
        <b/>
        <i/>
        <sz val="14"/>
        <rFont val="Arial"/>
        <family val="2"/>
      </rPr>
      <t xml:space="preserve"> </t>
    </r>
  </si>
  <si>
    <t>(Million BTUs)</t>
  </si>
  <si>
    <t xml:space="preserve">Net Energy Consumption from Recycling as Compared to Disposal </t>
  </si>
  <si>
    <t xml:space="preserve">Chart 9.  Energy Savings as of a Result of Recycling Items in a Typical Curbside Set-Out Container </t>
  </si>
  <si>
    <t xml:space="preserve">Note: When users indicate that they are "recycling" materials like yard trimmings, food scraps, mixed organics, etc, U.S. EPA calculates the benefit of composting these materials. </t>
  </si>
  <si>
    <t>Comparison: Source Reduction, Reuse, and Recycling Energy Savings vs. Selected Consumption Sources</t>
  </si>
  <si>
    <t>Comparison: Source Reduction, Reuse, and Recycling Energy Savings vs. Selected Generation</t>
  </si>
  <si>
    <r>
      <t>1</t>
    </r>
    <r>
      <rPr>
        <sz val="12"/>
        <rFont val="Arial"/>
        <family val="2"/>
      </rPr>
      <t>U.S. EPA. "WARM Online, Version 8." (June 2006). 26 June 06 http://yosemite.epa.gov/oar/globalwarming.nsf/WARM.</t>
    </r>
  </si>
  <si>
    <r>
      <t>2</t>
    </r>
    <r>
      <rPr>
        <sz val="12"/>
        <rFont val="Arial"/>
        <family val="2"/>
      </rPr>
      <t>U.S. EPA. (2002).  “Solid Waste Management: A Life-Cycle Assessment of Emissions and Sinks.” 2nd edition.  EPA 530-R-02-006.  http://yosemite.epa.gov/oar/globalwarming.nsf/content/ActionsWasteToolsSWMGHGreport.html</t>
    </r>
  </si>
  <si>
    <r>
      <t xml:space="preserve">2 </t>
    </r>
    <r>
      <rPr>
        <sz val="8"/>
        <rFont val="Arial"/>
        <family val="2"/>
      </rPr>
      <t xml:space="preserve">US EPA. "Solid Waste Management and Greenhouse Gases: A Life-Cycle Assessment of Emissions and Sinks. 2nd edition. " (2002). http://www.epa.gov/epaoswer/non-hw/muncpl/ghg/ghg.htm.  </t>
    </r>
  </si>
  <si>
    <r>
      <t xml:space="preserve">3 </t>
    </r>
    <r>
      <rPr>
        <sz val="8"/>
        <rFont val="Arial"/>
        <family val="2"/>
      </rPr>
      <t>US EPA. "Terms of the Environment: Composting." (2004). http://www.epa.gov/OCEPAterms/.</t>
    </r>
  </si>
  <si>
    <r>
      <t xml:space="preserve">5 </t>
    </r>
    <r>
      <rPr>
        <sz val="8"/>
        <rFont val="Arial"/>
        <family val="2"/>
      </rPr>
      <t>US EPA "Municipal Solid Waste in The United States: 2003 Facts and Figures. " (2003). http://www.epa.gov/msw/msw99.htm.</t>
    </r>
  </si>
  <si>
    <t xml:space="preserve">World Resources Institute.  "Climate Analysis Indicators Tool (CAIT)".  (2006). 17 July 2006 http://cait.wri.org/.  </t>
  </si>
  <si>
    <r>
      <t>U.S. EPA. "Energy CO</t>
    </r>
    <r>
      <rPr>
        <vertAlign val="subscript"/>
        <sz val="12"/>
        <rFont val="Arial"/>
        <family val="2"/>
      </rPr>
      <t>2</t>
    </r>
    <r>
      <rPr>
        <sz val="12"/>
        <rFont val="Arial"/>
        <family val="2"/>
      </rPr>
      <t xml:space="preserve"> Inventories." (2006). 1 Sept 06 http://yosemite.epa.gov/oar/globalwarming.nsf/content/EmissionsStateEnergyCO2Inventories.html?OpenDocument. </t>
    </r>
  </si>
  <si>
    <t>U.S. Energy Information Administration (EIA). "EIA State Energy Page." (2006).  1 Sept 06 http://www.eia.doe.gov/emeu/states/_states.html.</t>
  </si>
  <si>
    <t>U.S. Department of Commerce.  "State and Metropolitan Area Data Book - 5th Edition." (1997-1998). 21 Dec 05 http://www.census.gov/prod/3/98pubs/smadb-97.pdf.</t>
  </si>
  <si>
    <t xml:space="preserve">U.S. Census Bureau.  "State and County QuickFacts." (2000). 21 Dec 05 http://quickfacts.census.gov/qfd/. </t>
  </si>
  <si>
    <t>U.S. EPA. "WARM Online, Version 8." (June 2006). 26 June 06 http://yosemite.epa.gov/oar/globalwarming.nsf/WARM.</t>
  </si>
  <si>
    <t xml:space="preserve">U.S. EPA. "Solid Waste Management and Greenhouse Gases: A Life-Cycle Assessment of Emissions and Sinks. 2nd edition." EPA 530-R-02-006. 11 Nov 2005 http://www.epa.gov/epaoswer/non-hw/muncpl/ghg/ghg.htm. </t>
  </si>
  <si>
    <t>U.S. Department of Energy. Office of Energy Efficiency and Renewable Energy.  "2005 Buildings Energy Databook: 1.2.4 Residential Delivered and Primary Energy Consumption Intensities, by Year." (2006). 18 Jan 06 http://btscoredatabook.eren.doe.gov/docs/1.2.4.pdf.</t>
  </si>
  <si>
    <t>Federal Highway Administration (FHWA). "Table VM-1: Annual Vehicle Distance Traveled in Miles and Related Data- 2004".  (2006) 1 Sept 06 http://www.fhwa.dot.gov/policy/ohim/hs04/pdf/vm1.pdf.</t>
  </si>
  <si>
    <t xml:space="preserve">Energy Information Adminstration (EIA).  "Annual Energy Review 2005: Table A3: Approximate Heat Content of Petroleum Consumption, Selected Years, 1949-2005."  (2006). 1 Sept 06 http://www.eia.doe.gov/emeu/aer/pdf/pages/sec13_3.pdf.  </t>
  </si>
  <si>
    <t>Landfill Space Saved by Recycling</t>
  </si>
  <si>
    <t>Total Paper Tons</t>
  </si>
  <si>
    <t xml:space="preserve">Note: This data is based on an average mix of recyclables in a set-out container or blue bin.  This could be placed at curbside or dropped off at a Recycling Center or Transfer Station. </t>
  </si>
  <si>
    <t xml:space="preserve">NERC has updated its Environmental Benefits Calculator (EBC) so that it remains the most comprehensive and current EBC available in the United States.  EPA has made several major revisions to its Waste Reduction Model (WARM), which is one of the major analytical tools embedded in the EBC.  NERC also reviewed and updated calculations and figures from other sources.  The following are the updates made to NERC's EBC:
• The addition of aluminum scrap metal, copper wire, and tires to the material types.
• Updated the greenhouse gas emissions and energy factors to match the latest WARM Model.
• Revised figures for energy use for an average household for one year, an average passenger car for one year, and energy content of gasoline. 
• The following charts were added: How is Waste Diverted?; Impacts of Source Reduction/Reused and Disposal on GHG (MTCE/Year); and Impacts of Source Reduction/Reuse and Disposal on Energy Use (Million BTU/Year). 
• Added glass recycling environmental benefits. 
• Revised and automated the accompanying EBC Fact Sheet. </t>
  </si>
  <si>
    <t>• To make the EBC more user-friendly, the list of materials have been placed in logical groupings, and the Environmental Benefits charts have been separated and made larger. 
The biggest change to the EBC is the addition of five new environmental impact tables:
• Table 8: Reductions in Greenhouse Gas Emissions as of a Result of Recycling Items in a Typical Curbside Set-Out Container
• Table 9: Energy Savings as of a Result of Recycling Items in a Typical Curbside Set-Out Container
• Table 12: Natural Resource Savings as a Result of Steel Source Reduction and Reuse
• Table 14: Number of Tree Seedlings Grown for 10 Years as a Result of Paper Recycling
• Table 15: Landfill Space Saved as a Result of Paper Recycling. 
Due to a lack of available sources for updated facts and figures, the following charts have been deleted from NERC's EBC:  Life Cycle Stage Comparisons, Air Emissions and Waterborne Waste as a Result of Recycling, and Acid Rain Emission Savings Comparison.</t>
  </si>
  <si>
    <r>
      <t xml:space="preserve">Also in “Worksheet 1. Data Inputs,” enter state-specific data obtained through the Internet. </t>
    </r>
    <r>
      <rPr>
        <sz val="12"/>
        <rFont val="Arial"/>
        <family val="2"/>
      </rPr>
      <t xml:space="preserve">  This state-specific data includes statistics such as energy consumption and greenhouse gas emissions that puts your area's environmental benefits into context.  Sources for this data and instructions for navigating through the sites to find your state’s data are provided in each Input Section of  the worksheet. Please note: This state-specific data is already maintained by NERC for the ten Northeast states.  If your study area is within one of these states, contact Mary Ann Remolador [MaryAnn@nerc.org] for a partially-completed version of the Calculator that includes this data.</t>
    </r>
  </si>
  <si>
    <r>
      <t xml:space="preserve">Produce a Fact Sheet Using a Mail Merge Word File. </t>
    </r>
    <r>
      <rPr>
        <sz val="12"/>
        <rFont val="Arial"/>
        <family val="2"/>
      </rPr>
      <t xml:space="preserve"> The accompanying Fact Sheet summarizes your area's environmental benefits from the Calculator into narrative form. The Fact Sheet is intended to be used as a marketing tool for educating the public about the environmental benefits of recycling.  To create your area's data-specific Fact Sheet, follow these instructions.   Save the latest version of your Calculator analysis.  Open the blank Fact Sheet in Word.   In Word, display your Mail Merge toolbar by selecting "View" and then "Toolbars." From your Mail Merge toolbar, click on "Open Data Source."  Select the Calculator Excel file.  Select "Wksh 5. Fact Sheet Outputs" worksheet.  Again from your Mail Merge toolbar, click on "Merge to New Document."  (Please note there are other routes to completing the mail merge through the main Word toolbar under "Tools."</t>
    </r>
    <r>
      <rPr>
        <b/>
        <i/>
        <sz val="12"/>
        <rFont val="Arial"/>
        <family val="2"/>
      </rPr>
      <t xml:space="preserve"> </t>
    </r>
    <r>
      <rPr>
        <sz val="12"/>
        <rFont val="Arial"/>
        <family val="2"/>
      </rPr>
      <t xml:space="preserve">Read through the resulting Fact Sheet and edit it to fit your circumstances and the data you entered.  For example, if you did not enter any source reduction or reuse figures, delete these references.) </t>
    </r>
  </si>
  <si>
    <r>
      <t xml:space="preserve">Table 9. Energy Savings as of a Result of Recycling Items in a Typical Curbside Set-Out Container </t>
    </r>
    <r>
      <rPr>
        <sz val="12"/>
        <rFont val="Arial"/>
        <family val="2"/>
      </rPr>
      <t xml:space="preserve">is very simliar to </t>
    </r>
    <r>
      <rPr>
        <i/>
        <sz val="12"/>
        <rFont val="Arial"/>
        <family val="2"/>
      </rPr>
      <t>Table 6. Energy Savings as a Result of Recycling,</t>
    </r>
    <r>
      <rPr>
        <sz val="12"/>
        <rFont val="Arial"/>
        <family val="2"/>
      </rPr>
      <t>but for  selected types of commodities (those typically found in a set out container on curbside).  As in Table 6, this table is based on the data and methodology developed by the U.S. EPA</t>
    </r>
    <r>
      <rPr>
        <vertAlign val="superscript"/>
        <sz val="12"/>
        <rFont val="Arial"/>
        <family val="2"/>
      </rPr>
      <t>1</t>
    </r>
    <r>
      <rPr>
        <sz val="12"/>
        <rFont val="Arial"/>
        <family val="2"/>
      </rPr>
      <t>.  For details on these data sources, see EPA’s “Solid Waste Management and Greenhouse Gases: A Life-Cycle Assessment of Emissions and Sinks” report</t>
    </r>
    <r>
      <rPr>
        <vertAlign val="superscript"/>
        <sz val="12"/>
        <rFont val="Arial"/>
        <family val="2"/>
      </rPr>
      <t>2</t>
    </r>
    <r>
      <rPr>
        <sz val="12"/>
        <rFont val="Arial"/>
        <family val="2"/>
      </rPr>
      <t>.</t>
    </r>
  </si>
  <si>
    <r>
      <t>1</t>
    </r>
    <r>
      <rPr>
        <sz val="8"/>
        <rFont val="Arial"/>
        <family val="2"/>
      </rPr>
      <t xml:space="preserve">Recycling is defined as when a material is used in place of virgin inputs in the manufacturing process, rather than being disposed of and managed as waste.2   When a user indicates that they are “recycling” they are referring to the act of setting the material aside for use in the manufacturing process. This Calculator does not draw a distinction between these two distinct activities.  So, when users indicate that they are "recycling" materials like yard trimmings, food scraps, mixed organics, etc, U.S. EPA calculates the benefit of composting.   Composting is defined as the controlled biological decomposition of organic material in the presence of air to form a humus-like material. Controlled methods of composting include mechanical mixing and aerating, ventilating the materials by dropping them through a vertical series of aerated chambers, or placing the compost in piles out in the open air and mixing it or turning it periodically.3 </t>
    </r>
  </si>
  <si>
    <r>
      <t xml:space="preserve">1 </t>
    </r>
    <r>
      <rPr>
        <sz val="10"/>
        <rFont val="Arial"/>
        <family val="2"/>
      </rPr>
      <t>MTCE is an abbreviation for Metric Tons of Carbon Equivalent.  There is movement to use CO2 Equivalents (MTCO2) instead of Carbon Equivalents (MTCE), however EPA generally uses MTCE.  To convert, multiply MTCE by 44/12 to receive MTCO2.</t>
    </r>
  </si>
  <si>
    <t>Impacts of Recycling and Disposal of a Typical Curbside Set-Out Container on GHG</t>
  </si>
  <si>
    <t>Impacts of Recycling and Disposal of a Typical Curbside Set-Out Container on Energy Use</t>
  </si>
  <si>
    <t>Note:  This sheet contains miscellaneous figures used in calculations and graphs elsewhere in NERC's Calculator.</t>
  </si>
  <si>
    <t xml:space="preserve">U.S. EPA and ICF Consulting Group. "Waste Management and Energy Savings: Benefits by the Numbers."  (2005). 18 Jan 06 http://yosemite.epa.gov/OAR/globalwarming.nsf/UniqueKeyLookup/TMAL6GDR3K/$File/Energy%20Savings.pdf. </t>
  </si>
  <si>
    <t>U.S. Climate Technology Cooperation Gateway. "Greenhouse Gas Equivalencies Calculator." 18 Jan 06 http://www.usctcgateway.net/tool/.</t>
  </si>
  <si>
    <t xml:space="preserve">Steel Recycling Institute.  "Fact Sheet: What are other benefits of steel recycling?" 18 Jan 2006 http://www.recycle-steel.org/PDFs/brochures/buyrec.pdf. </t>
  </si>
  <si>
    <t>Glass Packaging Institute. "Glass Recycling and the Environment" (2005). 14 Aug 2006 http://www.gpi.org/recycling/environment/.</t>
  </si>
  <si>
    <t>U.S. Climate Technology Cooperation Gateway. "Greenhouse Gas Equivalencies Calculator." 31 Jul 06 http://www.usctcgateway.net/tool/.</t>
  </si>
  <si>
    <t>Paper Industry Association Council (PIAC). "Paper &amp; the Environment" (2006).22 Mar 2006 www.paperrecycles.org/paper_environment/index.html.</t>
  </si>
  <si>
    <t>Medium-density Fiberboard</t>
  </si>
  <si>
    <t>Net Recycling Energy</t>
  </si>
  <si>
    <t>Net Composting Energy</t>
  </si>
  <si>
    <t>Net Combustion Energy</t>
  </si>
  <si>
    <t>Net Recycling Emissions</t>
  </si>
  <si>
    <t>Net Composting Emissions</t>
  </si>
  <si>
    <t>Greenhouse Gas Emissions from MSW Management Options (MTCE/Ton)</t>
  </si>
  <si>
    <t xml:space="preserve">Net Combustion Emissions </t>
  </si>
  <si>
    <t>Net Landfilling Emissions</t>
  </si>
  <si>
    <t>Net Landfilling Energy</t>
  </si>
  <si>
    <t>Net Energy from Recycling</t>
  </si>
  <si>
    <t>Net Energy from Disposal</t>
  </si>
  <si>
    <t>Energy Savings Due to Recycling</t>
  </si>
  <si>
    <t xml:space="preserve">Energy Emissions/Savings from MSW Management Options (Assuming Initial Production Using the Current Mix of Virgin and Recycled Inputs) </t>
  </si>
  <si>
    <t>Net Greenhouse Gas Emissions from Recycling as Compared to Disposal (MTCE)</t>
  </si>
  <si>
    <t>Paper</t>
  </si>
  <si>
    <t>Plastic</t>
  </si>
  <si>
    <t>Mixed Paper, Broad Definition</t>
  </si>
  <si>
    <t>Construction &amp; Demolition</t>
  </si>
  <si>
    <t>Other Recyclables</t>
  </si>
  <si>
    <t>Ferrous Scrap Metal</t>
  </si>
  <si>
    <t>Unit</t>
  </si>
  <si>
    <t>Energy use for an "average" passenger car for one year</t>
  </si>
  <si>
    <t>Fuel use for an "average" passenger car for one year</t>
  </si>
  <si>
    <t>Energy content of gasoline</t>
  </si>
  <si>
    <t>Energy use for an "average" household for one year</t>
  </si>
  <si>
    <t>Basic conversion</t>
  </si>
  <si>
    <t>Tons Sent to Landfill</t>
  </si>
  <si>
    <t>Tons Sent to Incinerators</t>
  </si>
  <si>
    <t>Total Tons Disposed</t>
  </si>
  <si>
    <t xml:space="preserve">Sources: </t>
  </si>
  <si>
    <t>MTCE</t>
  </si>
  <si>
    <t>Mixed Paper</t>
  </si>
  <si>
    <t>GHG Emissions from Recycling</t>
  </si>
  <si>
    <t>GHG Emissions from Disposal</t>
  </si>
  <si>
    <t>GHG Benefit of Recycling (vs. Disposal)</t>
  </si>
  <si>
    <t xml:space="preserve">Mixed Paper, Office </t>
  </si>
  <si>
    <t xml:space="preserve">Mixed Paper, Residential </t>
  </si>
  <si>
    <t xml:space="preserve">To calculate oil saved in gallons: multiply oil saved in barrels by 42.  </t>
  </si>
  <si>
    <t>Waste</t>
  </si>
  <si>
    <t>Energy - Residential</t>
  </si>
  <si>
    <t>Energy - Commercial</t>
  </si>
  <si>
    <t xml:space="preserve">Agriculture </t>
  </si>
  <si>
    <t>Number of Households</t>
  </si>
  <si>
    <t>Sources</t>
  </si>
  <si>
    <t>Oil Saved    (Barrels)</t>
  </si>
  <si>
    <t>Gas Saved    (Gallons)</t>
  </si>
  <si>
    <t>Energy content of oil</t>
  </si>
  <si>
    <t>Personal communication with ICF Consulting.  August 2003.</t>
  </si>
  <si>
    <t>Reduction of Car Emissions</t>
  </si>
  <si>
    <r>
      <t>The fly ash category is specific to Portland cement displacement (the ash is produced by coal-fired power plants).  Certain types of fly ash (class C and F) possess the same characteristics as Portland cement and are able to be substituted for use in concrete manufacture.</t>
    </r>
    <r>
      <rPr>
        <i/>
        <vertAlign val="superscript"/>
        <sz val="8"/>
        <rFont val="Arial"/>
        <family val="2"/>
      </rPr>
      <t>4</t>
    </r>
  </si>
  <si>
    <r>
      <t>Assumes of 29% aluminum and 71% steel.  May include unknown metal types or cans and junked autos.  Junked autos can also be placed in ferrous scrap metal, older cars are made of steel, while newer ones have some aluminum components.</t>
    </r>
    <r>
      <rPr>
        <i/>
        <vertAlign val="superscript"/>
        <sz val="8"/>
        <rFont val="Arial"/>
        <family val="2"/>
      </rPr>
      <t>2,4</t>
    </r>
  </si>
  <si>
    <t>Reduction of "Average" Passenger Cars on the Road/Year</t>
  </si>
  <si>
    <t>Household</t>
  </si>
  <si>
    <t>Vehicle</t>
  </si>
  <si>
    <r>
      <t>CO</t>
    </r>
    <r>
      <rPr>
        <vertAlign val="subscript"/>
        <sz val="12"/>
        <rFont val="Arial"/>
        <family val="2"/>
      </rPr>
      <t>2</t>
    </r>
    <r>
      <rPr>
        <sz val="12"/>
        <rFont val="Arial"/>
        <family val="2"/>
      </rPr>
      <t xml:space="preserve"> Tons/Year</t>
    </r>
  </si>
  <si>
    <t>Estimating the Environmental Benefits of Source Reduction, Reuse, and Recycling</t>
  </si>
  <si>
    <t>Estimating the Environmental Benefits of Source Reduction, Reuse and Recycling</t>
  </si>
  <si>
    <t>Table 10: Energy Savings from Computer Source Reduction and Reuse</t>
  </si>
  <si>
    <t>Table 11: Energy Savings from Computer Recycling</t>
  </si>
  <si>
    <t>Table 12.  Natural Resource Savings as a Result of Steel Source Reduction and Reuse</t>
  </si>
  <si>
    <t>Table 13.  Natural Resource Savings as a Result of Steel &amp; Glass Recycling</t>
  </si>
  <si>
    <t>Table 6.  Landfill Space Saved as a Result of Paper Recycling</t>
  </si>
  <si>
    <t xml:space="preserve">Table 5. Number of Tree Seedlings Grown for 10 Years as a Result of Paper Recycling </t>
  </si>
  <si>
    <t>Newspaper &amp; Phone Books</t>
  </si>
  <si>
    <t>Forest Sequestration Equal to Number of Trees Seedlings Grown for 10 Years</t>
  </si>
  <si>
    <t>Office Paper, Textbooks, Magazines, Cardboard</t>
  </si>
  <si>
    <t xml:space="preserve">Table 14: Number of Tree Seedlings Grown for 10 Years as a Result of Paper Recycling </t>
  </si>
  <si>
    <t>Number of Trees Seedlings Grown for 10 Years</t>
  </si>
  <si>
    <t xml:space="preserve">Notes: These figures are determined by taking US EPA's forest carbon sequestration value (0.55 MTCE/ton for mechanically and 0.83 MTCE/ton for chemically pulped papers and divide it by a tree seedling value (0.011 MTCE per tree seedling grown for 10 years). </t>
  </si>
  <si>
    <t>Personal communication with ICF Consulting.  July 2006.</t>
  </si>
  <si>
    <t>Personal communication with Steel Recycling Institute.  January 2006.</t>
  </si>
  <si>
    <t>© September 2006</t>
  </si>
  <si>
    <t>Total Tons Source Reduced and Reused</t>
  </si>
  <si>
    <t xml:space="preserve">Source Reduction, Reuse and Recycling Emission Reductions as a Percent of Emissions </t>
  </si>
  <si>
    <r>
      <t>Table 6.  Energy Savings as a Result of Recycling</t>
    </r>
    <r>
      <rPr>
        <sz val="12"/>
        <rFont val="Arial"/>
        <family val="2"/>
      </rPr>
      <t xml:space="preserve"> is based on energy use estimates derived from EPA’s “Waste Management and Energy Savings: Benefits by the Numbers” report</t>
    </r>
    <r>
      <rPr>
        <vertAlign val="superscript"/>
        <sz val="12"/>
        <rFont val="Arial"/>
        <family val="2"/>
      </rPr>
      <t>3</t>
    </r>
    <r>
      <rPr>
        <sz val="12"/>
        <rFont val="Arial"/>
        <family val="2"/>
      </rPr>
      <t>.  The results in that paper have since been updated to reflect EPA’s revised “WARM” model.</t>
    </r>
  </si>
  <si>
    <t>Clay Bricks</t>
  </si>
  <si>
    <t>Aggregate</t>
  </si>
  <si>
    <t>Fly Ash</t>
  </si>
  <si>
    <t>Energy - Industrial</t>
  </si>
  <si>
    <t>Table 1.  Materials Management Overview</t>
  </si>
  <si>
    <t>Whole Computers</t>
  </si>
  <si>
    <t>Energy Expenditures</t>
  </si>
  <si>
    <t>(Million Nominal Dollars)</t>
  </si>
  <si>
    <t xml:space="preserve">Petroleum </t>
  </si>
  <si>
    <t xml:space="preserve">Natural Gas </t>
  </si>
  <si>
    <t xml:space="preserve">Coal </t>
  </si>
  <si>
    <t xml:space="preserve">Hydroelectric </t>
  </si>
  <si>
    <t xml:space="preserve">Nuclear </t>
  </si>
  <si>
    <t>Gallons/Year</t>
  </si>
  <si>
    <t>Gallons/Barrel</t>
  </si>
  <si>
    <t>Pounds</t>
  </si>
  <si>
    <t>Reused Whole Computers</t>
  </si>
  <si>
    <t>Statewide Expenditures    (Million Nominal Dollars)</t>
  </si>
  <si>
    <t>Total (Billion kWh)</t>
  </si>
  <si>
    <t>Coal (% of generation)</t>
  </si>
  <si>
    <t>Nuclear (% of generation)</t>
  </si>
  <si>
    <t>U.S.-based businesses are encouraged to use the calculator to determine the environmental benefits of recycling their office wastes and by-products.  However, since recycling is only a portion of a business’ activity, there is another model to assist in calculating the benefits of manufacturing and purchasing recycled content materials - The ReCon Tool may be found on the U.S.EPA Climate and Waste Program website, at http://yosemite.epa.gov/oar/globalwarming.nsf/content/ActionsWasteToolsRecon.html.</t>
  </si>
  <si>
    <r>
      <t xml:space="preserve">Tons </t>
    </r>
    <r>
      <rPr>
        <b/>
        <i/>
        <sz val="12"/>
        <rFont val="Arial"/>
        <family val="2"/>
      </rPr>
      <t>Recycled</t>
    </r>
    <r>
      <rPr>
        <b/>
        <i/>
        <vertAlign val="superscript"/>
        <sz val="12"/>
        <rFont val="Arial"/>
        <family val="2"/>
      </rPr>
      <t>1</t>
    </r>
  </si>
  <si>
    <r>
      <t>May include tin and bi-metal cans.</t>
    </r>
    <r>
      <rPr>
        <i/>
        <vertAlign val="superscript"/>
        <sz val="8"/>
        <rFont val="Arial"/>
        <family val="2"/>
      </rPr>
      <t>2</t>
    </r>
  </si>
  <si>
    <r>
      <t>May include glass containers &amp; other glass.</t>
    </r>
    <r>
      <rPr>
        <i/>
        <vertAlign val="superscript"/>
        <sz val="8"/>
        <rFont val="Arial"/>
        <family val="2"/>
      </rPr>
      <t>2</t>
    </r>
  </si>
  <si>
    <r>
      <t>May include boxboard &amp; Kraft paper.</t>
    </r>
    <r>
      <rPr>
        <i/>
        <vertAlign val="superscript"/>
        <sz val="8"/>
        <rFont val="Arial"/>
        <family val="2"/>
      </rPr>
      <t>2</t>
    </r>
  </si>
  <si>
    <r>
      <t>May include coated paper &amp; junk mail.</t>
    </r>
    <r>
      <rPr>
        <i/>
        <vertAlign val="superscript"/>
        <sz val="8"/>
        <rFont val="Arial"/>
        <family val="2"/>
      </rPr>
      <t>2</t>
    </r>
  </si>
  <si>
    <r>
      <t>May included high grade paper.</t>
    </r>
    <r>
      <rPr>
        <i/>
        <vertAlign val="superscript"/>
        <sz val="8"/>
        <rFont val="Arial"/>
        <family val="2"/>
      </rPr>
      <t>2</t>
    </r>
  </si>
  <si>
    <r>
      <t>May include other yard waste &amp; Christmas Trees.</t>
    </r>
    <r>
      <rPr>
        <i/>
        <vertAlign val="superscript"/>
        <sz val="8"/>
        <rFont val="Arial"/>
        <family val="2"/>
      </rPr>
      <t>2,4</t>
    </r>
  </si>
  <si>
    <r>
      <t>Wood that has been milled to certain dimensions (i.e., "two by fours") for use in structures.  May include any solid wood products.</t>
    </r>
    <r>
      <rPr>
        <i/>
        <vertAlign val="superscript"/>
        <sz val="8"/>
        <rFont val="Arial"/>
        <family val="2"/>
      </rPr>
      <t>2,4</t>
    </r>
  </si>
  <si>
    <r>
      <t>Defined as particle board or pressed chipboard. Also, defined as the glued and compressed wood (chipped and finely ground) material.  It is relatively fine-grained (as compared to particle board where you can visibly see the wood chips) that is also used in furniture.</t>
    </r>
    <r>
      <rPr>
        <i/>
        <vertAlign val="superscript"/>
        <sz val="8"/>
        <rFont val="Arial"/>
        <family val="2"/>
      </rPr>
      <t>4</t>
    </r>
  </si>
  <si>
    <r>
      <t>Aggregate (crushed rock or similar) obtained from concrete recovery.  Be aware of potential double-counting issue with C&amp;D.</t>
    </r>
    <r>
      <rPr>
        <i/>
        <vertAlign val="superscript"/>
        <sz val="8"/>
        <rFont val="Arial"/>
        <family val="2"/>
      </rPr>
      <t>4</t>
    </r>
  </si>
  <si>
    <r>
      <t xml:space="preserve">May include any combination of mixed paper grades (broadly defined). </t>
    </r>
    <r>
      <rPr>
        <i/>
        <vertAlign val="superscript"/>
        <sz val="8"/>
        <rFont val="Arial"/>
        <family val="2"/>
      </rPr>
      <t>2</t>
    </r>
  </si>
  <si>
    <r>
      <t xml:space="preserve">Assumes of 29% aluminum and 71% steel.  May include unknown metal types or cans and junked autos.  Junked autos can also be placed in ferrous scrap metal, older cars are made of steel, while newer ones have some aluminum components. </t>
    </r>
    <r>
      <rPr>
        <i/>
        <vertAlign val="superscript"/>
        <sz val="8"/>
        <rFont val="Arial"/>
        <family val="2"/>
      </rPr>
      <t>2,4</t>
    </r>
  </si>
  <si>
    <r>
      <t>Based on the following percent of total MSW recovery by material in 2003: 19% PET, 21% HDPE, and 7% LDPE.  May include unknown plastic resins, PVC/vinyl, polypropylene, polystyrene, or other plastic.</t>
    </r>
    <r>
      <rPr>
        <i/>
        <vertAlign val="superscript"/>
        <sz val="8"/>
        <rFont val="Arial"/>
        <family val="2"/>
      </rPr>
      <t>5</t>
    </r>
  </si>
  <si>
    <r>
      <t>Based on the following percent of total MSW recovery by material in 2003: 47% corrugated cardboard, 23% newspaper, 9% office paper, 5% glass, 6% magazines/third-class mail, 3% steel cans, 3% Dimensional Lumber, 1% aluminum cans, 2% plastic, 1% phonebooks/textbooks.</t>
    </r>
    <r>
      <rPr>
        <i/>
        <vertAlign val="superscript"/>
        <sz val="8"/>
        <rFont val="Arial"/>
        <family val="2"/>
      </rPr>
      <t xml:space="preserve">5 </t>
    </r>
    <r>
      <rPr>
        <i/>
        <sz val="8"/>
        <rFont val="Arial"/>
        <family val="2"/>
      </rPr>
      <t>May also include recyclables from a single stream collection.</t>
    </r>
  </si>
  <si>
    <r>
      <t>Average of food discards and yard trimmings.  May include unknown organic types.</t>
    </r>
    <r>
      <rPr>
        <i/>
        <vertAlign val="superscript"/>
        <sz val="8"/>
        <rFont val="Arial"/>
        <family val="2"/>
      </rPr>
      <t>2</t>
    </r>
  </si>
  <si>
    <r>
      <t>May include high grade paper.</t>
    </r>
    <r>
      <rPr>
        <i/>
        <vertAlign val="superscript"/>
        <sz val="8"/>
        <rFont val="Arial"/>
        <family val="2"/>
      </rPr>
      <t>2</t>
    </r>
  </si>
  <si>
    <r>
      <t>Defined as particle board or pressed chipboard. Also defined as the glued and compressed wood (chipped and finely ground) material.  It is relatively fine-grained (as compared to particle board where you can visibly see the wood chips) that is also used in furniture.</t>
    </r>
    <r>
      <rPr>
        <i/>
        <vertAlign val="superscript"/>
        <sz val="8"/>
        <rFont val="Arial"/>
        <family val="2"/>
      </rPr>
      <t>4</t>
    </r>
  </si>
  <si>
    <t>Pennsylvania</t>
  </si>
  <si>
    <t>PA Department of Environmental Protection</t>
  </si>
  <si>
    <r>
      <t>Based on the following percent of total MSW recovery by material in 2003: 47% corrugated cardboard, 23% newspaper, 9% office paper, 5% glass, 6% magazines/third-class mail, 3% steel cans, 3% Dimensional Lumber, 1% aluminum cans, 2% plastic, 1% phonebooks/textbooks.</t>
    </r>
    <r>
      <rPr>
        <i/>
        <vertAlign val="superscript"/>
        <sz val="8"/>
        <rFont val="Arial"/>
        <family val="2"/>
      </rPr>
      <t xml:space="preserve">5  </t>
    </r>
    <r>
      <rPr>
        <i/>
        <sz val="8"/>
        <rFont val="Arial"/>
        <family val="2"/>
      </rPr>
      <t>May also include recyclables from a single stream collection.</t>
    </r>
  </si>
  <si>
    <t>(Tons)</t>
  </si>
  <si>
    <t>Coal Saved Through Recycling</t>
  </si>
  <si>
    <t>Sand Saved Through Recycling</t>
  </si>
  <si>
    <t>broad mixed  = 24% Onp, 48% OCC, 20% OP &amp; 8% coated paper</t>
  </si>
  <si>
    <t>residential mixed  = 23% ONP, 53% OCC,14% OP &amp; 10% coated paper</t>
  </si>
  <si>
    <t>mixed office = 21% ONP, 5% OCC, 38% OP &amp; 36% coated paper.</t>
  </si>
  <si>
    <t>Office Paper, Textbooks, Magazines, &amp; Cardboard</t>
  </si>
  <si>
    <t>Recycled Materials</t>
  </si>
  <si>
    <t>Reused Materials</t>
  </si>
  <si>
    <t>Impacts of Source Reduction/Reuse and Disposal on GHG</t>
  </si>
  <si>
    <t>Impacts of Recycling and Disposal on GHG</t>
  </si>
  <si>
    <t>Impacts of Source Reduction/Reuse and Disposal on Energy Use</t>
  </si>
  <si>
    <t>Impacts of Recycling and Disposal on Energy Use</t>
  </si>
  <si>
    <t>Amount Source Reduced &amp; Reused (x1,000 Tons)</t>
  </si>
  <si>
    <r>
      <t xml:space="preserve">4 </t>
    </r>
    <r>
      <rPr>
        <sz val="8"/>
        <rFont val="Arial"/>
        <family val="2"/>
      </rPr>
      <t>Personal communication with ICF Consulting.  October 2004.</t>
    </r>
  </si>
  <si>
    <t>Greenhouse Gas Emissions if Recyclables Had Been Disposed (MTCE)</t>
  </si>
  <si>
    <t>Recycled Whole Computers</t>
  </si>
  <si>
    <t>Iron Ore</t>
  </si>
  <si>
    <t>Limestone</t>
  </si>
  <si>
    <t>Ferrous Steel Conversion Factors</t>
  </si>
  <si>
    <t>Pounds of Material Saved per Ton of Steel Recycled or Reused</t>
  </si>
  <si>
    <t xml:space="preserve">Ferrous Steel </t>
  </si>
  <si>
    <t>Amount (Tons)</t>
  </si>
  <si>
    <t>Amount Recycled (x1,000 Tons)</t>
  </si>
  <si>
    <t>CONSUMPTION COMPARISONS</t>
  </si>
  <si>
    <t>EXPENDITURE COMPARISONS</t>
  </si>
  <si>
    <t>GENERATION COMPARISONS</t>
  </si>
  <si>
    <r>
      <t>Reduction of Car Emissions (CO</t>
    </r>
    <r>
      <rPr>
        <b/>
        <vertAlign val="subscript"/>
        <sz val="10"/>
        <rFont val="Arial"/>
        <family val="2"/>
      </rPr>
      <t xml:space="preserve">2 </t>
    </r>
    <r>
      <rPr>
        <b/>
        <sz val="10"/>
        <rFont val="Arial"/>
        <family val="2"/>
      </rPr>
      <t>Tons/Year)</t>
    </r>
  </si>
  <si>
    <t>Input I. Materials Management Statistics</t>
  </si>
  <si>
    <t>Input II. Greenhouse Gas Inventory Statistics</t>
  </si>
  <si>
    <t>Input III. Carbon Dioxide Emissions from Fossil Fuel Combustion</t>
  </si>
  <si>
    <t xml:space="preserve">Worksheet 1.  Data Inputs </t>
  </si>
  <si>
    <t>Area is in the State of:</t>
  </si>
  <si>
    <t>Date of Calculator Analysis:</t>
  </si>
  <si>
    <t>Area Being Analyzed in Calculator:</t>
  </si>
  <si>
    <t>Area can be defined as any state, region, county, town, institution, college or business in the United States.</t>
  </si>
  <si>
    <r>
      <t xml:space="preserve">7 </t>
    </r>
    <r>
      <rPr>
        <sz val="8"/>
        <rFont val="Arial"/>
        <family val="2"/>
      </rPr>
      <t xml:space="preserve">Million metric tons of carbon dioxide equivalent (MTCO2) are units of measurement that express the heat-trapping effects of various greenhouse gas emissions in carbon dioxide equivalent. Another unit sometimes used is metric tons of carbon equivalent (MTCE).  Source: U.S. EPA (2004) User’s Guide for WARM: Calculating Greenhouse Gas Emissions with the WAste Reduction Model.  Available at: http://yosemite.epa.gov/oar/globalwarming.nsf/content/ActionsWasteWARMUsersGuide.html. </t>
    </r>
    <r>
      <rPr>
        <vertAlign val="superscript"/>
        <sz val="8"/>
        <rFont val="Arial"/>
        <family val="2"/>
      </rPr>
      <t xml:space="preserve">  </t>
    </r>
  </si>
  <si>
    <r>
      <t>8</t>
    </r>
    <r>
      <rPr>
        <sz val="8"/>
        <rFont val="Arial"/>
        <family val="2"/>
      </rPr>
      <t xml:space="preserve"> The British thermal unit (BTU or Btu) is a unit of energy used in the United States.  A Btu is defined as the amount of heat required to raise the temperature of one pound avoirdupois of water by one degree Fahrenheit at a specified temperature (as 39</t>
    </r>
    <r>
      <rPr>
        <vertAlign val="superscript"/>
        <sz val="8"/>
        <rFont val="Arial"/>
        <family val="2"/>
      </rPr>
      <t>o</t>
    </r>
    <r>
      <rPr>
        <sz val="8"/>
        <rFont val="Arial"/>
        <family val="2"/>
      </rPr>
      <t xml:space="preserve"> F). Source: Merriam-Webster OnLine "Brtish thermal unit" (2006). 12 Sept 2006 &lt;http://www.merriam-webster.com/dictionary/british+thermal+unit&gt;.</t>
    </r>
  </si>
  <si>
    <t xml:space="preserve">NERC’s Environmental Benefits Calculator (in Microsoft Excel 2003; part of Office Professional Edition 2003) generates estimates of the environmental benefits of a study area, based on the tonnages of materials that are source reduced, reused, recycled, landfilled, or incinerated (includes waste-to-energy).  The Calculator is based on per ton figures of the estimated energy use and emissions from several lifecycle analysis studies.  The estimates are average figures based on "typical" facilities and operating characteristics existing in the United States.  Factors that are not included in this Calculator are landfill gas recovery and generation of electricity by waste-to-energy. The Calculator incorporates U.S. EPA's most recent WARM Calculator, as well as, facts and figures for the US Department of Energy, Steel Recycling Institute, Glass Packaging Institute, and US Climate Technology Cooperation Gateway, to name a few.  More facts and figures can be found cited throughout the Calculator. </t>
  </si>
  <si>
    <t xml:space="preserve">The Output Tables provided by the Calculator and the accompanying Fact Sheet are intended to be used as references by waste prevention officials and advocates in preparing outreach materials such as press releases, presentation slides, educational curricula, and articles.  Completed Fact Sheets on the ten Northeast states can be found on NERC's website at www.nerc.org.  By documenting some of the more important benefits of source reduction, reuse and recycling, the Calculator can be used to educate the public, legislators and others about these benefits, assist state and municipal employees to better understand the impacts of their waste management programs, support market development efforts, and to increase the public’s understanding of source reduction, reuse and recycling as a sustainable environmental strategy.  </t>
  </si>
  <si>
    <t xml:space="preserve">The Calculator is usable by any state, region, county, town, institution, college or business in the United States.  It is limited to use in the U.S., because many of the data inputs and conversion factors are based on U.S.-specific data and technologies.  In addition, the environmental savings presented in the Calculator are compared to state-specific data.  This is important for local governments to keep in mind.  </t>
  </si>
  <si>
    <r>
      <t xml:space="preserve">Go to “Worksheet 1. Data Inputs” to enter materials management data. </t>
    </r>
    <r>
      <rPr>
        <sz val="12"/>
        <rFont val="Arial"/>
        <family val="2"/>
      </rPr>
      <t xml:space="preserve"> Worksheet 1. Data Inputs is the place to input your area's data.  This includes tonnages for source reduction, reuse, recycling, landfilling, and incineration/waste-to-energy.  See notes to the right of the blue cells in the “Worksheet 1. Data Inputs” for additional tips on entering the materials management data.  (If seeking state-specific materials management data and outside of the Northeast region, contact your state recycling agency for this information. The ten Northeast states’ data is run through the Calculator on a yearly basis, and the Fact Sheets summarizing the results can be found on NERC’s website at www.nerc.org.) </t>
    </r>
  </si>
  <si>
    <r>
      <t>Click on "Worksheet 2. Environmental Impacts,” using the tabs at the bottom of the spreadsheet.</t>
    </r>
    <r>
      <rPr>
        <sz val="12"/>
        <rFont val="Arial"/>
        <family val="2"/>
      </rPr>
      <t xml:space="preserve">  This sheet provides 15 automatically-generated tables from your inputted data.  Each table is presented on a separate page with descriptive charts. </t>
    </r>
  </si>
  <si>
    <t xml:space="preserve">There are many details involved in deriving environmental benefit estimates.  The Calculator uses statistics from many sources and involves important assumptions and caveats.  Following is an explanation of each of the 15 Output Tables.  </t>
  </si>
  <si>
    <t>Worksheet 3. Conversion Factors</t>
  </si>
  <si>
    <t>Table 1. Greenhouse Gas Emissions from MSW Management Options</t>
  </si>
  <si>
    <t>What Does the Calculator Do?</t>
  </si>
  <si>
    <t>Tons Landfilled</t>
  </si>
  <si>
    <t>Rate (% of Disposal)</t>
  </si>
  <si>
    <t>Rate (% of Generation)</t>
  </si>
  <si>
    <t>What Information Does the Calculator Produce?</t>
  </si>
  <si>
    <r>
      <t>Table 5.  Energy Savings as a Result of Source Reduction and Reuse</t>
    </r>
    <r>
      <rPr>
        <sz val="12"/>
        <rFont val="Arial"/>
        <family val="2"/>
      </rPr>
      <t xml:space="preserve"> is based on energy use estimates derived from EPA’s “Waste Management and Energy Savings: Benefits by the Numbers” report</t>
    </r>
    <r>
      <rPr>
        <vertAlign val="superscript"/>
        <sz val="12"/>
        <rFont val="Arial"/>
        <family val="2"/>
      </rPr>
      <t>3</t>
    </r>
    <r>
      <rPr>
        <sz val="12"/>
        <rFont val="Arial"/>
        <family val="2"/>
      </rPr>
      <t>.  The results in that paper have since been updated to reflect EPA’s revised “WARM” model.</t>
    </r>
  </si>
  <si>
    <r>
      <t xml:space="preserve">Table 13.  Selected Natural Resource Savings as a Result of Recycling </t>
    </r>
    <r>
      <rPr>
        <sz val="12"/>
        <rFont val="Arial"/>
        <family val="2"/>
      </rPr>
      <t xml:space="preserve">presents estimates of resource savings associated with ferrous steel recycling (including iron ore, coal and lime stone) and paper recycling.  </t>
    </r>
  </si>
  <si>
    <r>
      <t>The reductions in emissions from recycling are equal to the difference between the net emissions of disposed materials and those recycled.  Emission estimates are derived from estimated impacts of activities throughout the material life cycle.  Recycling net emissions include raw material acquisition and manufacturing, processing, transportation, and forest carbon sequestration.  Incineration and waste-to-energy net emissions include transportation, CO</t>
    </r>
    <r>
      <rPr>
        <vertAlign val="subscript"/>
        <sz val="12"/>
        <rFont val="Arial"/>
        <family val="2"/>
      </rPr>
      <t>2</t>
    </r>
    <r>
      <rPr>
        <sz val="12"/>
        <rFont val="Arial"/>
        <family val="2"/>
      </rPr>
      <t xml:space="preserve"> and N</t>
    </r>
    <r>
      <rPr>
        <vertAlign val="subscript"/>
        <sz val="12"/>
        <rFont val="Arial"/>
        <family val="2"/>
      </rPr>
      <t>2</t>
    </r>
    <r>
      <rPr>
        <sz val="12"/>
        <rFont val="Arial"/>
        <family val="2"/>
      </rPr>
      <t>O from combustion, avoided utility emissions, and steel recovery.  Landfill net emissions include transportation, CH</t>
    </r>
    <r>
      <rPr>
        <vertAlign val="subscript"/>
        <sz val="12"/>
        <rFont val="Arial"/>
        <family val="2"/>
      </rPr>
      <t>4</t>
    </r>
    <r>
      <rPr>
        <sz val="12"/>
        <rFont val="Arial"/>
        <family val="2"/>
      </rPr>
      <t xml:space="preserve"> from landfills, avoided CO</t>
    </r>
    <r>
      <rPr>
        <vertAlign val="subscript"/>
        <sz val="12"/>
        <rFont val="Arial"/>
        <family val="2"/>
      </rPr>
      <t>2</t>
    </r>
    <r>
      <rPr>
        <sz val="12"/>
        <rFont val="Arial"/>
        <family val="2"/>
      </rPr>
      <t xml:space="preserve"> emissions from energy recovery, and landfill carbon sequestration.  Column three in Table 2 is a weighted average of disposal emissions, based on the input ratio between landfilling and incineration/waste-to-energy.  </t>
    </r>
  </si>
  <si>
    <t>Tons Incinerated/ Waste-To-Energy</t>
  </si>
  <si>
    <t>Percent of disposed incinerated/ waste-to-energy</t>
  </si>
  <si>
    <t>Gas Saved                (Gallons)</t>
  </si>
  <si>
    <t>Who Can Use the Calculator?</t>
  </si>
  <si>
    <t>How Do You Use the Calculator?</t>
  </si>
  <si>
    <t>Greenhouse Gas Emissions Associated with Recycling (MTCE)</t>
  </si>
  <si>
    <t>Oil Saved                  (Barrels)</t>
  </si>
  <si>
    <t>Updating Frequency:</t>
  </si>
  <si>
    <t>Updating Frequency for Energy Consumption &amp; Expenditures:</t>
  </si>
  <si>
    <t>Updating Frequency for Net Generation:</t>
  </si>
  <si>
    <t>Net Energy Consumption from Recycling as Compared to Disposal (Million BTUs)</t>
  </si>
  <si>
    <t>Energy Use if All Recycled                (Million BTUs)</t>
  </si>
  <si>
    <t>Energy Use if Items Had Been Disposed        (Million BTUs)</t>
  </si>
  <si>
    <t>Worksheet 4. Calculations Worksheet</t>
  </si>
  <si>
    <r>
      <t>Table 1.  Materials Management Overview</t>
    </r>
    <r>
      <rPr>
        <sz val="12"/>
        <rFont val="Arial"/>
        <family val="2"/>
      </rPr>
      <t xml:space="preserve"> is a restatement of the materials management data inputted by the Environmental Benefits Calculator user.</t>
    </r>
  </si>
  <si>
    <t>Net Greenhouse Gas Emissions from Source Reduction and Reuse as Compared to Disposal (MTCE)</t>
  </si>
  <si>
    <t>Energy Use if Source Reduced and Reused       (Million BTUs)</t>
  </si>
  <si>
    <t>Net Energy Consumption from Source Reduction and Reuse as Compared to Disposal             (Million BTUs)</t>
  </si>
  <si>
    <t>potential 2003 waste comp</t>
  </si>
  <si>
    <t>Table 2.  Reductions in Greenhouse Gas Emissions as a Result of Source Reduction and Reuse</t>
  </si>
  <si>
    <t>Table 3.  Reductions in Greenhouse Gas Emissions as a Result of Recycling</t>
  </si>
  <si>
    <t>Table 4.  Greenhouse Gas Savings Comparisons</t>
  </si>
  <si>
    <t>Table 6a.  Energy Savings as a Result of Recycling</t>
  </si>
  <si>
    <r>
      <t xml:space="preserve">Table 6b.  Energy Savings as a Result of Recycling </t>
    </r>
    <r>
      <rPr>
        <b/>
        <i/>
        <sz val="14"/>
        <rFont val="Arial"/>
        <family val="2"/>
      </rPr>
      <t>Continued..</t>
    </r>
  </si>
  <si>
    <t>Table 7.  Energy Savings Comparisons</t>
  </si>
  <si>
    <t>Source Reduction, Reuse and Recycling Energy Savings as a Percentage of Each Sector &amp; Source Consumption</t>
  </si>
  <si>
    <t>Value of Source Reduction, Reuse and Recycling Energy Savings 
(Million Nominal Dollars)</t>
  </si>
  <si>
    <t>Source Reduction, Reuse and Recycling Energy Savings as a Percent of Each Generation Source</t>
  </si>
  <si>
    <t>Tons Source Reduced/Reused</t>
  </si>
  <si>
    <r>
      <t>3</t>
    </r>
    <r>
      <rPr>
        <sz val="12"/>
        <rFont val="Arial"/>
        <family val="2"/>
      </rPr>
      <t>Available online at: http://yosemite.epa.gov/oar/globalwarming.nsf/UniqueKeyLookup/SHSU5C3J2J/$File/energy.pdf.</t>
    </r>
  </si>
  <si>
    <t>Instructions:</t>
  </si>
  <si>
    <t>Data Source:</t>
  </si>
  <si>
    <t>Greenhouse Gas Emissions if Items Had Been Disposed (MTCE)</t>
  </si>
  <si>
    <t>Updated annually.</t>
  </si>
  <si>
    <t>Data Source for Energy Consumption &amp; Expenditures:</t>
  </si>
  <si>
    <t>Instructions for Sector Consumption:</t>
  </si>
  <si>
    <t>Instructions for Source Consumption:</t>
  </si>
  <si>
    <t>Instructions for Expenditures:</t>
  </si>
  <si>
    <t>Data Source for Net Generation:</t>
  </si>
  <si>
    <t>Instructions for Net Generation:</t>
  </si>
  <si>
    <t>Households in Area</t>
  </si>
  <si>
    <t xml:space="preserve">Click on your state. Scroll down to "Households, 2000."   </t>
  </si>
  <si>
    <t xml:space="preserve">An Environmental Benefits Calculator </t>
  </si>
  <si>
    <t>Updated by Northeast Recycling Council, Inc. (NERC)</t>
  </si>
  <si>
    <t>Step 1</t>
  </si>
  <si>
    <t>Step 2</t>
  </si>
  <si>
    <t>Step 3</t>
  </si>
  <si>
    <t>Energy Use if Recyclables Had Been Disposed (Million BTUs)</t>
  </si>
  <si>
    <t>Net Energy Consumption from Recycling as Compared to Disposal             (Million BTUs)</t>
  </si>
  <si>
    <t>Statewide Consumption (Million BTUs)</t>
  </si>
  <si>
    <t>Statewide Energy Generation by Source
(Million BTUs)</t>
  </si>
  <si>
    <t>(Million BTU/Ton)</t>
  </si>
  <si>
    <t>Million BTU/Year</t>
  </si>
  <si>
    <t>Calculated using fuel use for an "average" passenger car for one year in gallons and energy content of gasoline in million BTU/gallon.</t>
  </si>
  <si>
    <r>
      <t>May include steel, iron, and other ferrous metals.  Items may include white goods, oil filters and propane tanks.</t>
    </r>
    <r>
      <rPr>
        <i/>
        <vertAlign val="superscript"/>
        <sz val="8"/>
        <rFont val="Arial"/>
        <family val="2"/>
      </rPr>
      <t>4</t>
    </r>
  </si>
  <si>
    <r>
      <t>May include steel, iron, &amp; other ferrous metals. Items may include white goods.</t>
    </r>
    <r>
      <rPr>
        <i/>
        <vertAlign val="superscript"/>
        <sz val="8"/>
        <rFont val="Arial"/>
        <family val="2"/>
      </rPr>
      <t>4</t>
    </r>
  </si>
  <si>
    <t>Metal</t>
  </si>
  <si>
    <t>How is Waste Diverted?</t>
  </si>
  <si>
    <r>
      <t>Click on "State CO</t>
    </r>
    <r>
      <rPr>
        <vertAlign val="subscript"/>
        <sz val="12"/>
        <rFont val="Arial"/>
        <family val="2"/>
      </rPr>
      <t>2</t>
    </r>
    <r>
      <rPr>
        <sz val="12"/>
        <rFont val="Arial"/>
        <family val="2"/>
      </rPr>
      <t xml:space="preserve"> Emissions from fossil fuel combustion, 1990-2002"</t>
    </r>
  </si>
  <si>
    <r>
      <t>CO</t>
    </r>
    <r>
      <rPr>
        <b/>
        <vertAlign val="subscript"/>
        <sz val="12"/>
        <rFont val="Arial"/>
        <family val="2"/>
      </rPr>
      <t>2</t>
    </r>
    <r>
      <rPr>
        <b/>
        <sz val="12"/>
        <rFont val="Arial"/>
        <family val="2"/>
      </rPr>
      <t xml:space="preserve"> Emissions 
(Million Metric Tons CO</t>
    </r>
    <r>
      <rPr>
        <b/>
        <vertAlign val="subscript"/>
        <sz val="12"/>
        <rFont val="Arial"/>
        <family val="2"/>
      </rPr>
      <t>2</t>
    </r>
    <r>
      <rPr>
        <b/>
        <sz val="12"/>
        <rFont val="Arial"/>
        <family val="2"/>
      </rPr>
      <t>)</t>
    </r>
  </si>
  <si>
    <r>
      <t>Energy Consumed 
(Trillion BTUs</t>
    </r>
    <r>
      <rPr>
        <b/>
        <vertAlign val="superscript"/>
        <sz val="12"/>
        <rFont val="Arial"/>
        <family val="2"/>
      </rPr>
      <t>8</t>
    </r>
    <r>
      <rPr>
        <b/>
        <sz val="12"/>
        <rFont val="Arial"/>
        <family val="2"/>
      </rPr>
      <t>)</t>
    </r>
  </si>
  <si>
    <t>Gallons/ Barrel</t>
  </si>
  <si>
    <t>Million BTU/Barrel</t>
  </si>
  <si>
    <t>Million BTU/Gallon</t>
  </si>
  <si>
    <t>Calculated by dividing the energy content of gasoline in million BTU/barrel by the energy content of gasoline in gallons/barrel.</t>
  </si>
  <si>
    <t>Billion kWh to Million BTU</t>
  </si>
  <si>
    <t xml:space="preserve">Billion kWh multiplied by 1000 divided by 0.00293 gives Million BTU. </t>
  </si>
  <si>
    <t>Million BTUs</t>
  </si>
  <si>
    <r>
      <t xml:space="preserve">Tons </t>
    </r>
    <r>
      <rPr>
        <b/>
        <i/>
        <sz val="12"/>
        <rFont val="Arial"/>
        <family val="2"/>
      </rPr>
      <t>Disposed</t>
    </r>
  </si>
  <si>
    <t>DISPOSAL TYPE</t>
  </si>
  <si>
    <t>Energy Consumed 
(Trillion BTUs)</t>
  </si>
  <si>
    <r>
      <t>MAJOR CO</t>
    </r>
    <r>
      <rPr>
        <b/>
        <i/>
        <vertAlign val="subscript"/>
        <sz val="10"/>
        <rFont val="Arial"/>
        <family val="2"/>
      </rPr>
      <t>2</t>
    </r>
    <r>
      <rPr>
        <b/>
        <i/>
        <sz val="10"/>
        <rFont val="Arial"/>
        <family val="2"/>
      </rPr>
      <t xml:space="preserve"> EMISSION SECTORS FROM FOSSIL FUEL COMBUSTION</t>
    </r>
  </si>
  <si>
    <t xml:space="preserve">Unknown. </t>
  </si>
  <si>
    <t>Energy - Electric Utilities</t>
  </si>
  <si>
    <t>Energy - Transportation</t>
  </si>
  <si>
    <t>Energy - Fugitive Emissions</t>
  </si>
  <si>
    <t>Industrial Processes</t>
  </si>
  <si>
    <t>Annual Emissions (MTCE)</t>
  </si>
  <si>
    <t>Energy Saved by Source Reduction, Reuse &amp; Recycling</t>
  </si>
  <si>
    <t>Net Source Reduction/ Reuse Emissions</t>
  </si>
  <si>
    <t>Net Source Reduction/ Reuse Energy</t>
  </si>
  <si>
    <t>Copper Wire</t>
  </si>
  <si>
    <t>Aluminum Scrap Metal</t>
  </si>
  <si>
    <t>Tires</t>
  </si>
  <si>
    <t>Energy Use if Source Reduced and Reused                (Million BTUs)</t>
  </si>
  <si>
    <t>Net Energy Consumption from Source Reduction and Resue as Compared to Disposal             (Million BTUs)</t>
  </si>
  <si>
    <t>Iron Ore Saved Through Source Reduction and Reuse                 (Tons)</t>
  </si>
  <si>
    <t>Coal Saved Through Source Reduction and Reuse              (Tons)</t>
  </si>
  <si>
    <t>Limestone Saved Through Source Reduction and Reuse                 (Tons)</t>
  </si>
  <si>
    <t>Total Resources Saved Through Source Reduction and Reuse         (Tons)</t>
  </si>
  <si>
    <t>Source Reduced and Reused</t>
  </si>
  <si>
    <t>GHG Emissions from Source Reduction and Reuse</t>
  </si>
  <si>
    <t>GHG Benefit of Source Reduction and Reuse (vs. Disposal)</t>
  </si>
  <si>
    <t>Net Energy from Source Reduction and Reuse</t>
  </si>
  <si>
    <t>Energy Savings Due to Source Reduction and Reuse</t>
  </si>
  <si>
    <t>Area Name</t>
  </si>
  <si>
    <t>Year</t>
  </si>
  <si>
    <t>Total as a Result of Recycling</t>
  </si>
  <si>
    <t>Total as a Result of Source Reduction and Reuse</t>
  </si>
  <si>
    <t>Table 2: Reductions in Greenhouse Gas Emissions as a Result of Source Reduction and Reuse</t>
  </si>
  <si>
    <t>State</t>
  </si>
  <si>
    <t>Percent of Industrial Carbon Emissions from Fossil Fuel Combustion</t>
  </si>
  <si>
    <t xml:space="preserve">Percent of GHG Emissions </t>
  </si>
  <si>
    <t>Net GHG Emissions from Source Reduction, Reuse and Recycling</t>
  </si>
  <si>
    <t>Net Energy Consumption from Source Reduction, Reuse and Recycling</t>
  </si>
  <si>
    <t>Percent of Energy Used by Industry</t>
  </si>
  <si>
    <t>Net GHG Emissions from Recycling - CURBSIDE ONLY</t>
  </si>
  <si>
    <t>Net Energy Consumption from Recycling - CURBSIDE ONLY</t>
  </si>
  <si>
    <t>Tons Recycled (Steel &amp; Glass)</t>
  </si>
  <si>
    <t>Limestone Tons</t>
  </si>
  <si>
    <t>Iron Ore Tons</t>
  </si>
  <si>
    <t>Coal Tons</t>
  </si>
  <si>
    <t>Sand Tons</t>
  </si>
  <si>
    <t>Soda Ash Tons</t>
  </si>
  <si>
    <t>Feldspar Tons</t>
  </si>
  <si>
    <t>Number of Tree Seedlings Grown</t>
  </si>
  <si>
    <t>Paper Tons</t>
  </si>
  <si>
    <t>Table 5a.  Energy Savings as a Result of Source Reduction and Reuse</t>
  </si>
  <si>
    <r>
      <t xml:space="preserve">Table 5b.  Energy Savings as a Result of Source Reduction and Reuse </t>
    </r>
    <r>
      <rPr>
        <b/>
        <i/>
        <sz val="14"/>
        <rFont val="Arial"/>
        <family val="2"/>
      </rPr>
      <t>Continued...</t>
    </r>
  </si>
  <si>
    <t>Citations</t>
  </si>
  <si>
    <t>Step 4</t>
  </si>
  <si>
    <t>Explanation of the Calculator Results</t>
  </si>
  <si>
    <t>Worksheet 2. Environmental Impacts</t>
  </si>
  <si>
    <t>At the website (need Adobe Reader), look for "Table A-27. States - Electric and Gas Utilities" on page 28.  Look for your state under the "Net generation" columns.</t>
  </si>
  <si>
    <t>Updated with Federal Census.</t>
  </si>
  <si>
    <t>Materials Management Type</t>
  </si>
  <si>
    <t>1 metric ton</t>
  </si>
  <si>
    <t>Percentages of Disposal Options</t>
  </si>
  <si>
    <t>Reporting Year:</t>
  </si>
  <si>
    <t>Source:</t>
  </si>
  <si>
    <t>Newspaper</t>
  </si>
  <si>
    <t>Office Paper</t>
  </si>
  <si>
    <t>Corrugated Cardboard</t>
  </si>
  <si>
    <t>Aluminum Cans</t>
  </si>
  <si>
    <t>Steel Cans</t>
  </si>
  <si>
    <t>Glass</t>
  </si>
  <si>
    <t>HDPE</t>
  </si>
  <si>
    <t>LDPE</t>
  </si>
  <si>
    <t>PET</t>
  </si>
  <si>
    <t>Food Scraps</t>
  </si>
  <si>
    <t>Yard Trimmings</t>
  </si>
  <si>
    <t xml:space="preserve">Do not input directly because the Calculator will automatically compute. </t>
  </si>
  <si>
    <r>
      <t xml:space="preserve">The fly ash category is specific to Portland cement displacement (the ash is produced by coal-fired power plants).  Certain types of fly ash (class C and F) possess the same characteristics as Portland cement and are able to be substituted for use in concrete manufacture. </t>
    </r>
    <r>
      <rPr>
        <i/>
        <vertAlign val="superscript"/>
        <sz val="8"/>
        <rFont val="Arial"/>
        <family val="2"/>
      </rPr>
      <t>4</t>
    </r>
    <r>
      <rPr>
        <i/>
        <sz val="8"/>
        <rFont val="Arial"/>
        <family val="2"/>
      </rPr>
      <t xml:space="preserve"> </t>
    </r>
  </si>
  <si>
    <r>
      <t xml:space="preserve">May include any combination of mixed paper grades (broadly defined). </t>
    </r>
    <r>
      <rPr>
        <i/>
        <vertAlign val="superscript"/>
        <sz val="8"/>
        <rFont val="Arial"/>
        <family val="2"/>
      </rPr>
      <t xml:space="preserve">2  </t>
    </r>
  </si>
  <si>
    <r>
      <t xml:space="preserve">Table 15. Landfill Space Saved as a Result of Paper Recycling </t>
    </r>
    <r>
      <rPr>
        <sz val="12"/>
        <rFont val="Arial"/>
        <family val="2"/>
      </rPr>
      <t xml:space="preserve">presents the amount of space saved in a landfill as a result of recycling paper. </t>
    </r>
  </si>
  <si>
    <t>Will be released in 2006, entitled "State and Metropolitan Area Data Book - 2006."</t>
  </si>
  <si>
    <t>Table 2. Energy Emissions/Savings from Various MSW Management Options</t>
  </si>
  <si>
    <t>Table 3. Miscellaneous Energy Conversion Factors</t>
  </si>
  <si>
    <t>Table 7. Unit Conversion Factors</t>
  </si>
  <si>
    <t>Mixed Recyclables</t>
  </si>
  <si>
    <t>Data Source(s):</t>
  </si>
  <si>
    <t>Include estimates for all materials generated in the state, regardless of where disposed.  Do not include imports.</t>
  </si>
  <si>
    <t>Utility</t>
  </si>
  <si>
    <t>Carpet</t>
  </si>
  <si>
    <t>Industry</t>
  </si>
  <si>
    <t>Transportation</t>
  </si>
  <si>
    <t>Industrial</t>
  </si>
  <si>
    <t>Other</t>
  </si>
  <si>
    <t>Total</t>
  </si>
  <si>
    <t xml:space="preserve">Commercial </t>
  </si>
  <si>
    <t>Residential</t>
  </si>
  <si>
    <t xml:space="preserve">Total  </t>
  </si>
  <si>
    <t>Commercial</t>
  </si>
  <si>
    <t>Material</t>
  </si>
  <si>
    <t>NA</t>
  </si>
  <si>
    <t>Mixed Paper, Resid.</t>
  </si>
  <si>
    <t>Mixed Paper, Office</t>
  </si>
  <si>
    <t>Dimensional Lumber</t>
  </si>
  <si>
    <t>Grass</t>
  </si>
  <si>
    <t>Leaves</t>
  </si>
  <si>
    <t>Branches</t>
  </si>
  <si>
    <t>Conversion Type</t>
  </si>
  <si>
    <t>Value</t>
  </si>
  <si>
    <t xml:space="preserve">Recyclables other than those listed above, e.g., batteries or commingled containers.  Only the tonnage recycled is reported in the Environmental Impacts.  </t>
  </si>
  <si>
    <t>Recyclables other than those listed above, e.g., batteries or commingled containers.  Only the tonnage source reduced is reported in the Environmental Impacts.</t>
  </si>
  <si>
    <r>
      <t xml:space="preserve">Tons </t>
    </r>
    <r>
      <rPr>
        <b/>
        <i/>
        <sz val="12"/>
        <rFont val="Arial"/>
        <family val="2"/>
      </rPr>
      <t>Source Reduced &amp; Reused</t>
    </r>
    <r>
      <rPr>
        <b/>
        <i/>
        <vertAlign val="superscript"/>
        <sz val="12"/>
        <rFont val="Arial"/>
        <family val="2"/>
      </rPr>
      <t>6</t>
    </r>
  </si>
  <si>
    <t>Input IV. Energy Statistics</t>
  </si>
  <si>
    <t>Input V. Household Information</t>
  </si>
  <si>
    <t xml:space="preserve">U.S. EPA and ICF Consulting Group. "Waste Management and Energy Savings: Benefits by the Numbers."  (2005). 18 Jan 06 http://yosemite.epa.gov/OAR/globalwarming.nsf/UniqueKeyLookup/TMAL6GDR3K/$File/Energy%20Savings.pdf. Another source: Energy Information Adminstration (EIA).  "Annual Energy Review 2005: Table A2: Approximate Heat Content of Petroleum Production, Imports, and Exports, Selected Years, 1949-2005." (2006). 1 Sept 06  http://www.eia.doe.gov/emeu/aer/pdf/pages/sec13_2.pdf.  </t>
  </si>
  <si>
    <r>
      <t>Table 10. Energy Savings from Computer Reuse</t>
    </r>
    <r>
      <rPr>
        <sz val="12"/>
        <rFont val="Arial"/>
        <family val="2"/>
      </rPr>
      <t xml:space="preserve"> determines the energy savings in Million BTUs from reusing whole computers (i.e., central processing unit, monitor and keyboard).  The energy savings is equated to oil and gas saved, as well as, the number of cars that could be taken off the road for one year based on the amount of gasoline an average U.S. vehicle consumes in a year. </t>
    </r>
  </si>
  <si>
    <r>
      <t xml:space="preserve">Table 11. Energy Savings from Computer Recycling </t>
    </r>
    <r>
      <rPr>
        <sz val="12"/>
        <rFont val="Arial"/>
        <family val="2"/>
      </rPr>
      <t xml:space="preserve">determines the energy savings in Million BTUs from recycling whole computers.  The energy savings is equated to oil and gas saved, as well as, the number of cars that could be taken off the road for one year based on the amount of gasoline an average U.S. vehicle consumes in a year. </t>
    </r>
  </si>
  <si>
    <t>The following tables summarize the estimated environmental benefits of source reduction, reuse and recycling and provide comparison figures to put these estimates in context.</t>
  </si>
  <si>
    <t>Incineration/ Waste-To-Energy</t>
  </si>
  <si>
    <t>Total as a Result of Source Reduction, Reuse &amp; Recycling</t>
  </si>
  <si>
    <t>Total as a Result of Source Reduction &amp; Reuse</t>
  </si>
  <si>
    <t>Totals as a Result of Source Reduction, Reuse &amp; Recycling</t>
  </si>
  <si>
    <t>Table 5b.  Energy Savings as a Result of Source Reduction and Reuse Continued…</t>
  </si>
  <si>
    <t>Total Resources Saved Through Recycling             (Tons)</t>
  </si>
  <si>
    <t>Feldspar Saved Through Recycling        (Tons)</t>
  </si>
  <si>
    <t>Total Tons Recycled</t>
  </si>
  <si>
    <t>Reporting Year</t>
  </si>
  <si>
    <t>Landfill</t>
  </si>
  <si>
    <t>Recycled</t>
  </si>
  <si>
    <t>Percent of disposed landfilled</t>
  </si>
  <si>
    <t>Estimates of the Environmental Impacts of Recycling in</t>
  </si>
  <si>
    <t>Tons Recycled</t>
  </si>
  <si>
    <t>MAJOR GHG EMISSION SOURCES</t>
  </si>
  <si>
    <t>Percent of Total Emissions</t>
  </si>
  <si>
    <t>Sources:</t>
  </si>
  <si>
    <t xml:space="preserve">ENERGY SECTOR </t>
  </si>
  <si>
    <t>ENERGY SOURCE</t>
  </si>
  <si>
    <t>Natural Gas</t>
  </si>
  <si>
    <t xml:space="preserve">Residential </t>
  </si>
  <si>
    <t>Coal</t>
  </si>
  <si>
    <t>Hydroelectric</t>
  </si>
  <si>
    <t>Nuclear</t>
  </si>
  <si>
    <t>Total Consumption</t>
  </si>
  <si>
    <t>OTHER COMPARISONS</t>
  </si>
  <si>
    <t>GENERATION SOURCE</t>
  </si>
  <si>
    <t>Net Generation</t>
  </si>
  <si>
    <t>SECTOR</t>
  </si>
  <si>
    <t>SOURCE</t>
  </si>
  <si>
    <t>MATERIAL TYPE</t>
  </si>
  <si>
    <t>Statewide Coal Power Generation</t>
  </si>
  <si>
    <t>Statewide Nuclear Power Generation</t>
  </si>
  <si>
    <t>Statewide Hydroelectric Consumption</t>
  </si>
  <si>
    <t>Statewide Coal Consumption</t>
  </si>
  <si>
    <t>Electric Utilities</t>
  </si>
  <si>
    <t>Glass Conversion Factors</t>
  </si>
  <si>
    <t xml:space="preserve">Pounds of Material Saved per Ton of Glass Recycled </t>
  </si>
  <si>
    <t>Sand</t>
  </si>
  <si>
    <t>Soda Ash</t>
  </si>
  <si>
    <t>Feldspar</t>
  </si>
  <si>
    <t>Soda Ash Saved Through Recycling  (Tons)</t>
  </si>
  <si>
    <t>Limestone Saved Through Recycling       (Tons)</t>
  </si>
  <si>
    <t>Iron Ore Saved Through Recycling      (Tons)</t>
  </si>
  <si>
    <t>Table 15.  Landfill Space Saved as a Result of Paper Recycling</t>
  </si>
  <si>
    <t>Item</t>
  </si>
  <si>
    <t>Landfill Space</t>
  </si>
  <si>
    <t>Cubic Yards of Landfill Space Saved per Ton of Paper Recycled</t>
  </si>
  <si>
    <t xml:space="preserve">Landfill Space Saved </t>
  </si>
  <si>
    <t>(Cubic Yards)</t>
  </si>
  <si>
    <t>Table 4. Natural Resource Conversion Factors</t>
  </si>
  <si>
    <t>Energy Savings in Per "Average" Household            (No. of Houses/Year)</t>
  </si>
  <si>
    <t>Million BTUs Per Household</t>
  </si>
  <si>
    <t>Petroleum</t>
  </si>
  <si>
    <t>Magazines/Third-class Mail</t>
  </si>
  <si>
    <t>Phonebooks</t>
  </si>
  <si>
    <t>Textbooks</t>
  </si>
  <si>
    <t>Mixed Metals</t>
  </si>
  <si>
    <t>Mixed Plastics</t>
  </si>
  <si>
    <t>Mixed Organics</t>
  </si>
  <si>
    <t xml:space="preserve">May include copper scrap. </t>
  </si>
  <si>
    <t>What Has Been Updated Since the Last Version?</t>
  </si>
  <si>
    <t>Table 8.  Reductions in Greenhouse Gas Emissions as of a Result of Recycling Items in a Typical Curbside Set-Out Container</t>
  </si>
  <si>
    <t>Table 9.  Energy Savings as of a Result of Recycling Items in a Typical Curbside Set-Out Container</t>
  </si>
  <si>
    <r>
      <t xml:space="preserve">Table 8. Reductions in Greenhouse Gas Emissions as of a Result of Recycling Items in a Typical Curbside Set-Out Container </t>
    </r>
    <r>
      <rPr>
        <sz val="12"/>
        <rFont val="Arial"/>
        <family val="2"/>
      </rPr>
      <t xml:space="preserve">is very simliar to </t>
    </r>
    <r>
      <rPr>
        <i/>
        <sz val="12"/>
        <rFont val="Arial"/>
        <family val="2"/>
      </rPr>
      <t>Table 3. Reductions in Greenhouse Gas Emissions as a Result of Recycling</t>
    </r>
    <r>
      <rPr>
        <sz val="12"/>
        <rFont val="Arial"/>
        <family val="2"/>
      </rPr>
      <t>, but for selected types of commodities (those typically found in a set out container on curbside.)  As in Table 3, this table is based on the data and methodology developed by the U.S. EPA</t>
    </r>
    <r>
      <rPr>
        <vertAlign val="superscript"/>
        <sz val="12"/>
        <rFont val="Arial"/>
        <family val="2"/>
      </rPr>
      <t>1</t>
    </r>
    <r>
      <rPr>
        <sz val="12"/>
        <rFont val="Arial"/>
        <family val="2"/>
      </rPr>
      <t>.  For details on these data sources, see EPA’s “Solid Waste Management and Greenhouse Gases: A Life-Cycle Assessment of Emissions and Sinks” report</t>
    </r>
    <r>
      <rPr>
        <vertAlign val="superscript"/>
        <sz val="12"/>
        <rFont val="Arial"/>
        <family val="2"/>
      </rPr>
      <t>2</t>
    </r>
    <r>
      <rPr>
        <sz val="12"/>
        <rFont val="Arial"/>
        <family val="2"/>
      </rPr>
      <t>.</t>
    </r>
  </si>
  <si>
    <t>The Calculator yields the following detailed tables with accompanying descriptive charts:
1. Materials Management Overview;
2. Reductions in Greenhouse Gas Emissions as a Result of Source Reduction and Reuse;
3. Reductions in Greenhouse Gas Emissions as a Result of Recycling;
4. Greenhouse Gas Savings Comparisons;
5. Energy Savings as a Result of Source Reduction and Reuse;
6. Energy Savings as a Result of Recycling;
7. Energy Savings Comparisons;
8. Reductions in Greenhouse Gas Emissions as of a Result of Recycling Items in a Typical Curbside Set-Out Container;
9. Energy Savings as of a Result of Recycling Items in a Typical Curbside Set-Out Container;
10.  Energy Savings from Computer Source Reduction and Reuse;
11.  Energy Savings from Computer Recycling; 
12. Natural Resource Savings as a Result of Steel Source Reduction and Reuse; 
13. Natural Resource Savings as a Result of Steel &amp; Glass Recycling; 
14. Number of Tree Seedlings Grown for 10 Years as Result of Paper Recycling; and 
15. Landfill Space Saved as a Result of Paper Recycling.</t>
  </si>
  <si>
    <r>
      <t>The reductions in emissions from source reduction are equal to the net emissions of disposed materials and those source reduced.  Emission estimates are derived from estimated impacts of activities throughout the material life cycle.  Source reduction net emissions include raw material acquisition and manufacturing, processing, transportation, and forest carbon sequestration.  Incineration/waste-to-energy net emissions include transportation, carbon dioxide (CO</t>
    </r>
    <r>
      <rPr>
        <vertAlign val="subscript"/>
        <sz val="12"/>
        <rFont val="Arial"/>
        <family val="2"/>
      </rPr>
      <t>2</t>
    </r>
    <r>
      <rPr>
        <sz val="12"/>
        <rFont val="Arial"/>
        <family val="2"/>
      </rPr>
      <t>) and nitrous oxide (N</t>
    </r>
    <r>
      <rPr>
        <vertAlign val="subscript"/>
        <sz val="12"/>
        <rFont val="Arial"/>
        <family val="2"/>
      </rPr>
      <t>2</t>
    </r>
    <r>
      <rPr>
        <sz val="12"/>
        <rFont val="Arial"/>
        <family val="2"/>
      </rPr>
      <t>O) from combustion, avoided utility emissions, and steel recovery.  Landfill net emissions include transportation, (CH</t>
    </r>
    <r>
      <rPr>
        <vertAlign val="subscript"/>
        <sz val="12"/>
        <rFont val="Arial"/>
        <family val="2"/>
      </rPr>
      <t>4</t>
    </r>
    <r>
      <rPr>
        <sz val="12"/>
        <rFont val="Arial"/>
        <family val="2"/>
      </rPr>
      <t>)</t>
    </r>
    <r>
      <rPr>
        <vertAlign val="subscript"/>
        <sz val="12"/>
        <rFont val="Arial"/>
        <family val="2"/>
      </rPr>
      <t xml:space="preserve"> </t>
    </r>
    <r>
      <rPr>
        <sz val="12"/>
        <rFont val="Arial"/>
        <family val="2"/>
      </rPr>
      <t>from landfills, avoided CO</t>
    </r>
    <r>
      <rPr>
        <vertAlign val="subscript"/>
        <sz val="12"/>
        <rFont val="Arial"/>
        <family val="2"/>
      </rPr>
      <t>2</t>
    </r>
    <r>
      <rPr>
        <sz val="12"/>
        <rFont val="Arial"/>
        <family val="2"/>
      </rPr>
      <t xml:space="preserve"> emissions from energy recovery, and landfill carbon sequestration.  Column three is a weighted average of disposal emissions, based on the ratio between landfilling and incineration/waste-to-energy. </t>
    </r>
  </si>
</sst>
</file>

<file path=xl/styles.xml><?xml version="1.0" encoding="utf-8"?>
<styleSheet xmlns="http://schemas.openxmlformats.org/spreadsheetml/2006/main">
  <numFmts count="5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_)"/>
    <numFmt numFmtId="165" formatCode="mmmm\ d\,\ yyyy"/>
    <numFmt numFmtId="166" formatCode="m/d"/>
    <numFmt numFmtId="167" formatCode="#,##0.0"/>
    <numFmt numFmtId="168" formatCode="0.000"/>
    <numFmt numFmtId="169" formatCode="0.0%"/>
    <numFmt numFmtId="170" formatCode="#,##0;[Red]#,##0"/>
    <numFmt numFmtId="171" formatCode="#,##0.000"/>
    <numFmt numFmtId="172" formatCode="&quot;$&quot;#,##0"/>
    <numFmt numFmtId="173" formatCode="0.00_);\(0.00\)"/>
    <numFmt numFmtId="174" formatCode="0.00_)"/>
    <numFmt numFmtId="175" formatCode="0.0"/>
    <numFmt numFmtId="176" formatCode="#,##0.000_);\(#,##0.000\)"/>
    <numFmt numFmtId="177" formatCode="#,##0.0000_);\(#,##0.0000\)"/>
    <numFmt numFmtId="178" formatCode="#,##0.00000_);\(#,##0.00000\)"/>
    <numFmt numFmtId="179" formatCode="0.0000"/>
    <numFmt numFmtId="180" formatCode="0.00000000"/>
    <numFmt numFmtId="181" formatCode="0.0000000"/>
    <numFmt numFmtId="182" formatCode="0.000000"/>
    <numFmt numFmtId="183" formatCode="0.00000"/>
    <numFmt numFmtId="184" formatCode="&quot;Yes&quot;;&quot;Yes&quot;;&quot;No&quot;"/>
    <numFmt numFmtId="185" formatCode="&quot;True&quot;;&quot;True&quot;;&quot;False&quot;"/>
    <numFmt numFmtId="186" formatCode="&quot;On&quot;;&quot;On&quot;;&quot;Off&quot;"/>
    <numFmt numFmtId="187" formatCode="#,##0.0000"/>
    <numFmt numFmtId="188" formatCode="#,##0.000000"/>
    <numFmt numFmtId="189" formatCode="00000"/>
    <numFmt numFmtId="190" formatCode="[$-409]dddd\,\ mmmm\ dd\,\ yyyy"/>
    <numFmt numFmtId="191" formatCode="[$-409]mmmm\ d\,\ yyyy;@"/>
    <numFmt numFmtId="192" formatCode="[$€-2]\ #,##0.00_);[Red]\([$€-2]\ #,##0.00\)"/>
    <numFmt numFmtId="193" formatCode="mmmm\-yy"/>
    <numFmt numFmtId="194" formatCode="mmmm\ yyyy"/>
    <numFmt numFmtId="195" formatCode="_(* #,##0.000_);_(* \(#,##0.000\);_(* &quot;-&quot;??_);_(@_)"/>
    <numFmt numFmtId="196" formatCode="_(* #,##0.0000_);_(* \(#,##0.0000\);_(* &quot;-&quot;??_);_(@_)"/>
    <numFmt numFmtId="197" formatCode="_(* #,##0.00000_);_(* \(#,##0.00000\);_(* &quot;-&quot;??_);_(@_)"/>
    <numFmt numFmtId="198" formatCode="_(* #,##0.000000_);_(* \(#,##0.000000\);_(* &quot;-&quot;??_);_(@_)"/>
    <numFmt numFmtId="199" formatCode="_(* #,##0.0000000_);_(* \(#,##0.0000000\);_(* &quot;-&quot;??_);_(@_)"/>
    <numFmt numFmtId="200" formatCode="_(* #,##0.00000000_);_(* \(#,##0.00000000\);_(* &quot;-&quot;??_);_(@_)"/>
    <numFmt numFmtId="201" formatCode="_(* #,##0.0_);_(* \(#,##0.0\);_(* &quot;-&quot;??_);_(@_)"/>
    <numFmt numFmtId="202" formatCode="_(* #,##0_);_(* \(#,##0\);_(* &quot;-&quot;??_);_(@_)"/>
    <numFmt numFmtId="203" formatCode="0.000%"/>
    <numFmt numFmtId="204" formatCode="&quot;$&quot;#,##0.00"/>
    <numFmt numFmtId="205" formatCode="#,##0.0_);\(#,##0.0\)"/>
    <numFmt numFmtId="206" formatCode="[$-409]h:mm:ss\ AM/PM"/>
    <numFmt numFmtId="207" formatCode="##%"/>
    <numFmt numFmtId="208" formatCode="&quot;$&quot;#,##0.0"/>
  </numFmts>
  <fonts count="73">
    <font>
      <sz val="10"/>
      <name val="Arial"/>
      <family val="0"/>
    </font>
    <font>
      <b/>
      <sz val="10"/>
      <name val="Arial"/>
      <family val="2"/>
    </font>
    <font>
      <b/>
      <sz val="14"/>
      <name val="Arial"/>
      <family val="2"/>
    </font>
    <font>
      <sz val="14"/>
      <name val="Arial"/>
      <family val="2"/>
    </font>
    <font>
      <b/>
      <sz val="18"/>
      <name val="Arial"/>
      <family val="2"/>
    </font>
    <font>
      <b/>
      <sz val="12"/>
      <name val="Arial"/>
      <family val="2"/>
    </font>
    <font>
      <sz val="8"/>
      <name val="helv"/>
      <family val="0"/>
    </font>
    <font>
      <i/>
      <sz val="10"/>
      <name val="Arial"/>
      <family val="2"/>
    </font>
    <font>
      <b/>
      <i/>
      <sz val="10"/>
      <name val="Arial"/>
      <family val="2"/>
    </font>
    <font>
      <sz val="18.5"/>
      <name val="Arial"/>
      <family val="0"/>
    </font>
    <font>
      <sz val="19"/>
      <name val="Arial"/>
      <family val="0"/>
    </font>
    <font>
      <sz val="21.5"/>
      <name val="Arial"/>
      <family val="0"/>
    </font>
    <font>
      <sz val="3.25"/>
      <name val="Arial"/>
      <family val="0"/>
    </font>
    <font>
      <u val="single"/>
      <sz val="10"/>
      <color indexed="12"/>
      <name val="Arial"/>
      <family val="0"/>
    </font>
    <font>
      <u val="single"/>
      <sz val="10"/>
      <color indexed="36"/>
      <name val="Arial"/>
      <family val="0"/>
    </font>
    <font>
      <sz val="10"/>
      <name val="Helvetica"/>
      <family val="2"/>
    </font>
    <font>
      <b/>
      <sz val="10"/>
      <name val="Helvetica"/>
      <family val="2"/>
    </font>
    <font>
      <sz val="30"/>
      <name val="Arial"/>
      <family val="0"/>
    </font>
    <font>
      <sz val="8"/>
      <name val="Tahoma"/>
      <family val="0"/>
    </font>
    <font>
      <vertAlign val="superscript"/>
      <sz val="10"/>
      <name val="Arial"/>
      <family val="2"/>
    </font>
    <font>
      <b/>
      <vertAlign val="subscript"/>
      <sz val="10"/>
      <name val="Arial"/>
      <family val="2"/>
    </font>
    <font>
      <b/>
      <vertAlign val="superscript"/>
      <sz val="10"/>
      <name val="Arial"/>
      <family val="2"/>
    </font>
    <font>
      <sz val="3"/>
      <name val="Arial"/>
      <family val="2"/>
    </font>
    <font>
      <sz val="9"/>
      <name val="Arial"/>
      <family val="2"/>
    </font>
    <font>
      <sz val="18"/>
      <name val="Arial"/>
      <family val="2"/>
    </font>
    <font>
      <sz val="12"/>
      <name val="Arial"/>
      <family val="2"/>
    </font>
    <font>
      <b/>
      <i/>
      <sz val="12"/>
      <name val="Arial"/>
      <family val="2"/>
    </font>
    <font>
      <b/>
      <i/>
      <sz val="14"/>
      <name val="Arial"/>
      <family val="2"/>
    </font>
    <font>
      <sz val="10"/>
      <color indexed="52"/>
      <name val="Arial"/>
      <family val="0"/>
    </font>
    <font>
      <b/>
      <vertAlign val="superscript"/>
      <sz val="12"/>
      <name val="Arial"/>
      <family val="2"/>
    </font>
    <font>
      <b/>
      <vertAlign val="subscript"/>
      <sz val="12"/>
      <name val="Arial"/>
      <family val="2"/>
    </font>
    <font>
      <i/>
      <sz val="12"/>
      <name val="Arial"/>
      <family val="2"/>
    </font>
    <font>
      <sz val="18.25"/>
      <name val="Arial"/>
      <family val="2"/>
    </font>
    <font>
      <sz val="16.75"/>
      <name val="Arial"/>
      <family val="0"/>
    </font>
    <font>
      <vertAlign val="subscript"/>
      <sz val="12"/>
      <name val="Arial"/>
      <family val="2"/>
    </font>
    <font>
      <vertAlign val="superscript"/>
      <sz val="12"/>
      <name val="Arial"/>
      <family val="2"/>
    </font>
    <font>
      <sz val="12"/>
      <color indexed="52"/>
      <name val="Arial"/>
      <family val="0"/>
    </font>
    <font>
      <sz val="12"/>
      <name val="Helvetica"/>
      <family val="0"/>
    </font>
    <font>
      <b/>
      <sz val="12"/>
      <name val="Helvetica"/>
      <family val="2"/>
    </font>
    <font>
      <b/>
      <u val="single"/>
      <sz val="12"/>
      <name val="Arial"/>
      <family val="2"/>
    </font>
    <font>
      <b/>
      <i/>
      <vertAlign val="subscript"/>
      <sz val="10"/>
      <name val="Arial"/>
      <family val="2"/>
    </font>
    <font>
      <i/>
      <sz val="8"/>
      <name val="Arial"/>
      <family val="2"/>
    </font>
    <font>
      <sz val="8"/>
      <name val="Arial"/>
      <family val="2"/>
    </font>
    <font>
      <i/>
      <vertAlign val="superscript"/>
      <sz val="8"/>
      <name val="Arial"/>
      <family val="2"/>
    </font>
    <font>
      <sz val="8"/>
      <color indexed="10"/>
      <name val="Arial"/>
      <family val="2"/>
    </font>
    <font>
      <vertAlign val="superscript"/>
      <sz val="8"/>
      <name val="Arial"/>
      <family val="2"/>
    </font>
    <font>
      <sz val="24.75"/>
      <name val="Arial"/>
      <family val="0"/>
    </font>
    <font>
      <b/>
      <sz val="22.75"/>
      <name val="Arial"/>
      <family val="2"/>
    </font>
    <font>
      <sz val="30.25"/>
      <name val="Arial"/>
      <family val="0"/>
    </font>
    <font>
      <b/>
      <sz val="2"/>
      <name val="Arial"/>
      <family val="2"/>
    </font>
    <font>
      <b/>
      <sz val="2.25"/>
      <name val="Arial"/>
      <family val="2"/>
    </font>
    <font>
      <b/>
      <vertAlign val="subscript"/>
      <sz val="2.25"/>
      <name val="Arial"/>
      <family val="2"/>
    </font>
    <font>
      <sz val="2"/>
      <name val="Arial"/>
      <family val="2"/>
    </font>
    <font>
      <sz val="2.75"/>
      <name val="Arial"/>
      <family val="2"/>
    </font>
    <font>
      <b/>
      <sz val="2.75"/>
      <name val="Arial"/>
      <family val="2"/>
    </font>
    <font>
      <b/>
      <sz val="3"/>
      <name val="Arial"/>
      <family val="2"/>
    </font>
    <font>
      <b/>
      <sz val="4"/>
      <name val="Arial"/>
      <family val="2"/>
    </font>
    <font>
      <b/>
      <vertAlign val="subscript"/>
      <sz val="4"/>
      <name val="Arial"/>
      <family val="2"/>
    </font>
    <font>
      <sz val="3.5"/>
      <name val="Arial"/>
      <family val="2"/>
    </font>
    <font>
      <b/>
      <sz val="3.5"/>
      <name val="Arial"/>
      <family val="2"/>
    </font>
    <font>
      <b/>
      <vertAlign val="subscript"/>
      <sz val="3.5"/>
      <name val="Arial"/>
      <family val="2"/>
    </font>
    <font>
      <b/>
      <sz val="3.75"/>
      <name val="Arial"/>
      <family val="2"/>
    </font>
    <font>
      <b/>
      <vertAlign val="subscript"/>
      <sz val="3.75"/>
      <name val="Arial"/>
      <family val="2"/>
    </font>
    <font>
      <b/>
      <sz val="3.25"/>
      <name val="Arial"/>
      <family val="2"/>
    </font>
    <font>
      <b/>
      <i/>
      <vertAlign val="superscript"/>
      <sz val="12"/>
      <name val="Arial"/>
      <family val="2"/>
    </font>
    <font>
      <b/>
      <sz val="16"/>
      <name val="Arial"/>
      <family val="2"/>
    </font>
    <font>
      <sz val="16"/>
      <name val="Arial"/>
      <family val="2"/>
    </font>
    <font>
      <b/>
      <sz val="15.5"/>
      <name val="Arial"/>
      <family val="2"/>
    </font>
    <font>
      <sz val="15.5"/>
      <name val="Arial"/>
      <family val="2"/>
    </font>
    <font>
      <b/>
      <u val="single"/>
      <sz val="14"/>
      <name val="Arial"/>
      <family val="2"/>
    </font>
    <font>
      <b/>
      <u val="single"/>
      <sz val="10"/>
      <name val="Arial"/>
      <family val="2"/>
    </font>
    <font>
      <b/>
      <sz val="8"/>
      <name val="Tahoma"/>
      <family val="0"/>
    </font>
    <font>
      <b/>
      <sz val="8"/>
      <name val="Arial"/>
      <family val="2"/>
    </font>
  </fonts>
  <fills count="5">
    <fill>
      <patternFill/>
    </fill>
    <fill>
      <patternFill patternType="gray125"/>
    </fill>
    <fill>
      <patternFill patternType="solid">
        <fgColor indexed="22"/>
        <bgColor indexed="64"/>
      </patternFill>
    </fill>
    <fill>
      <patternFill patternType="solid">
        <fgColor indexed="41"/>
        <bgColor indexed="64"/>
      </patternFill>
    </fill>
    <fill>
      <patternFill patternType="solid">
        <fgColor indexed="9"/>
        <bgColor indexed="64"/>
      </patternFill>
    </fill>
  </fills>
  <borders count="74">
    <border>
      <left/>
      <right/>
      <top/>
      <bottom/>
      <diagonal/>
    </border>
    <border>
      <left style="thin"/>
      <right style="medium"/>
      <top style="medium"/>
      <bottom style="thin"/>
    </border>
    <border>
      <left style="medium"/>
      <right style="thin"/>
      <top style="medium"/>
      <bottom style="thin"/>
    </border>
    <border>
      <left style="thin"/>
      <right style="thin"/>
      <top style="medium"/>
      <bottom style="thin"/>
    </border>
    <border>
      <left>
        <color indexed="63"/>
      </left>
      <right style="medium"/>
      <top style="medium"/>
      <bottom style="thin"/>
    </border>
    <border>
      <left style="thin"/>
      <right style="thin"/>
      <top style="thin"/>
      <bottom style="thin"/>
    </border>
    <border>
      <left style="thin"/>
      <right style="medium"/>
      <top style="thin"/>
      <bottom style="thin"/>
    </border>
    <border>
      <left style="thin"/>
      <right style="medium"/>
      <top style="thin"/>
      <bottom style="medium"/>
    </border>
    <border>
      <left style="thin"/>
      <right style="medium"/>
      <top style="medium"/>
      <bottom style="medium"/>
    </border>
    <border>
      <left style="thin"/>
      <right style="thin"/>
      <top style="thin"/>
      <bottom style="medium"/>
    </border>
    <border>
      <left style="thin"/>
      <right style="thin"/>
      <top style="medium"/>
      <bottom style="medium"/>
    </border>
    <border>
      <left style="thin"/>
      <right style="thin"/>
      <top style="medium"/>
      <bottom>
        <color indexed="63"/>
      </bottom>
    </border>
    <border>
      <left style="thin"/>
      <right style="thin"/>
      <top>
        <color indexed="63"/>
      </top>
      <bottom style="thin"/>
    </border>
    <border>
      <left>
        <color indexed="63"/>
      </left>
      <right>
        <color indexed="63"/>
      </right>
      <top style="medium"/>
      <bottom style="thin"/>
    </border>
    <border>
      <left>
        <color indexed="63"/>
      </left>
      <right>
        <color indexed="63"/>
      </right>
      <top style="thin"/>
      <bottom style="thin"/>
    </border>
    <border>
      <left>
        <color indexed="63"/>
      </left>
      <right style="medium"/>
      <top style="thin"/>
      <bottom style="thin"/>
    </border>
    <border>
      <left style="medium"/>
      <right style="thin"/>
      <top style="thin"/>
      <bottom style="medium"/>
    </border>
    <border>
      <left>
        <color indexed="63"/>
      </left>
      <right style="thin"/>
      <top style="medium"/>
      <bottom style="thin"/>
    </border>
    <border>
      <left style="medium"/>
      <right style="thin"/>
      <top style="thin"/>
      <bottom style="thin"/>
    </border>
    <border>
      <left style="thin"/>
      <right style="thin"/>
      <top>
        <color indexed="63"/>
      </top>
      <bottom>
        <color indexed="63"/>
      </bottom>
    </border>
    <border>
      <left style="thin"/>
      <right style="thin"/>
      <top>
        <color indexed="63"/>
      </top>
      <bottom style="medium"/>
    </border>
    <border>
      <left style="thin"/>
      <right>
        <color indexed="63"/>
      </right>
      <top>
        <color indexed="63"/>
      </top>
      <bottom>
        <color indexed="63"/>
      </bottom>
    </border>
    <border>
      <left style="thin"/>
      <right>
        <color indexed="63"/>
      </right>
      <top>
        <color indexed="63"/>
      </top>
      <bottom style="medium"/>
    </border>
    <border>
      <left style="thin"/>
      <right>
        <color indexed="63"/>
      </right>
      <top style="medium"/>
      <bottom>
        <color indexed="63"/>
      </bottom>
    </border>
    <border>
      <left style="thin"/>
      <right style="thin"/>
      <top style="thin"/>
      <bottom>
        <color indexed="63"/>
      </bottom>
    </border>
    <border>
      <left style="medium"/>
      <right>
        <color indexed="63"/>
      </right>
      <top>
        <color indexed="63"/>
      </top>
      <bottom>
        <color indexed="63"/>
      </bottom>
    </border>
    <border>
      <left style="medium"/>
      <right style="medium"/>
      <top style="medium"/>
      <bottom>
        <color indexed="63"/>
      </bottom>
    </border>
    <border>
      <left style="medium"/>
      <right style="medium"/>
      <top>
        <color indexed="63"/>
      </top>
      <bottom style="thin"/>
    </border>
    <border>
      <left>
        <color indexed="63"/>
      </left>
      <right>
        <color indexed="63"/>
      </right>
      <top style="thin"/>
      <bottom>
        <color indexed="63"/>
      </bottom>
    </border>
    <border>
      <left style="thin"/>
      <right style="medium"/>
      <top style="thin"/>
      <bottom>
        <color indexed="63"/>
      </bottom>
    </border>
    <border>
      <left style="medium"/>
      <right>
        <color indexed="63"/>
      </right>
      <top style="thin"/>
      <bottom style="thin"/>
    </border>
    <border>
      <left style="medium"/>
      <right>
        <color indexed="63"/>
      </right>
      <top style="thin"/>
      <bottom>
        <color indexed="63"/>
      </bottom>
    </border>
    <border>
      <left style="medium"/>
      <right style="medium"/>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thin"/>
      <top style="thin"/>
      <bottom style="thin"/>
    </border>
    <border>
      <left>
        <color indexed="63"/>
      </left>
      <right style="thin"/>
      <top style="thin"/>
      <bottom style="medium"/>
    </border>
    <border>
      <left>
        <color indexed="63"/>
      </left>
      <right>
        <color indexed="63"/>
      </right>
      <top style="thin"/>
      <bottom style="medium"/>
    </border>
    <border>
      <left>
        <color indexed="63"/>
      </left>
      <right style="medium"/>
      <top style="thin"/>
      <bottom style="medium"/>
    </border>
    <border>
      <left>
        <color indexed="63"/>
      </left>
      <right style="medium"/>
      <top style="thin"/>
      <bottom>
        <color indexed="63"/>
      </bottom>
    </border>
    <border>
      <left>
        <color indexed="63"/>
      </left>
      <right style="medium"/>
      <top>
        <color indexed="63"/>
      </top>
      <bottom style="thin"/>
    </border>
    <border>
      <left style="medium"/>
      <right style="thin"/>
      <top style="thin"/>
      <bottom>
        <color indexed="63"/>
      </bottom>
    </border>
    <border>
      <left style="medium"/>
      <right style="thin"/>
      <top style="medium"/>
      <bottom style="medium"/>
    </border>
    <border>
      <left style="medium"/>
      <right>
        <color indexed="63"/>
      </right>
      <top style="medium"/>
      <bottom>
        <color indexed="63"/>
      </bottom>
    </border>
    <border>
      <left style="medium"/>
      <right>
        <color indexed="63"/>
      </right>
      <top style="medium"/>
      <bottom style="thin"/>
    </border>
    <border>
      <left style="medium"/>
      <right>
        <color indexed="63"/>
      </right>
      <top style="thin"/>
      <bottom style="medium"/>
    </border>
    <border>
      <left style="medium"/>
      <right style="thin"/>
      <top style="medium"/>
      <bottom>
        <color indexed="63"/>
      </bottom>
    </border>
    <border>
      <left style="medium"/>
      <right style="thin"/>
      <top>
        <color indexed="63"/>
      </top>
      <bottom style="thin"/>
    </border>
    <border>
      <left style="thin"/>
      <right style="medium"/>
      <top style="medium"/>
      <bottom>
        <color indexed="63"/>
      </bottom>
    </border>
    <border>
      <left style="thin"/>
      <right style="medium"/>
      <top>
        <color indexed="63"/>
      </top>
      <bottom style="medium"/>
    </border>
    <border>
      <left style="thin"/>
      <right>
        <color indexed="63"/>
      </right>
      <top style="thin"/>
      <bottom style="medium"/>
    </border>
    <border>
      <left style="thin"/>
      <right>
        <color indexed="63"/>
      </right>
      <top style="thin"/>
      <bottom>
        <color indexed="63"/>
      </bottom>
    </border>
    <border>
      <left>
        <color indexed="63"/>
      </left>
      <right style="medium"/>
      <top>
        <color indexed="63"/>
      </top>
      <bottom>
        <color indexed="63"/>
      </bottom>
    </border>
    <border>
      <left style="thin"/>
      <right>
        <color indexed="63"/>
      </right>
      <top>
        <color indexed="63"/>
      </top>
      <bottom style="thin"/>
    </border>
    <border>
      <left style="medium"/>
      <right>
        <color indexed="63"/>
      </right>
      <top style="medium"/>
      <bottom style="medium"/>
    </border>
    <border>
      <left>
        <color indexed="63"/>
      </left>
      <right>
        <color indexed="63"/>
      </right>
      <top style="medium"/>
      <bottom style="medium"/>
    </border>
    <border>
      <left style="thin"/>
      <right>
        <color indexed="63"/>
      </right>
      <top style="thin"/>
      <bottom style="thin"/>
    </border>
    <border>
      <left style="medium"/>
      <right>
        <color indexed="63"/>
      </right>
      <top>
        <color indexed="63"/>
      </top>
      <bottom style="medium"/>
    </border>
    <border>
      <left>
        <color indexed="63"/>
      </left>
      <right style="medium"/>
      <top>
        <color indexed="63"/>
      </top>
      <bottom style="medium"/>
    </border>
    <border>
      <left style="thin"/>
      <right style="medium"/>
      <top>
        <color indexed="63"/>
      </top>
      <bottom style="thin"/>
    </border>
    <border>
      <left>
        <color indexed="63"/>
      </left>
      <right style="medium"/>
      <top style="medium"/>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color indexed="63"/>
      </left>
      <right style="thin"/>
      <top>
        <color indexed="63"/>
      </top>
      <bottom style="thin"/>
    </border>
    <border>
      <left style="thin"/>
      <right style="medium"/>
      <top>
        <color indexed="63"/>
      </top>
      <bottom>
        <color indexed="63"/>
      </bottom>
    </border>
    <border>
      <left>
        <color indexed="63"/>
      </left>
      <right>
        <color indexed="63"/>
      </right>
      <top style="medium"/>
      <bottom>
        <color indexed="63"/>
      </bottom>
    </border>
    <border>
      <left style="medium"/>
      <right style="thin"/>
      <top>
        <color indexed="63"/>
      </top>
      <bottom style="medium"/>
    </border>
    <border>
      <left>
        <color indexed="63"/>
      </left>
      <right style="thin"/>
      <top style="thin"/>
      <bottom>
        <color indexed="63"/>
      </bottom>
    </border>
    <border>
      <left style="thin"/>
      <right>
        <color indexed="63"/>
      </right>
      <top style="medium"/>
      <bottom style="thin"/>
    </border>
    <border>
      <left style="medium"/>
      <right>
        <color indexed="63"/>
      </right>
      <top style="medium">
        <color indexed="8"/>
      </top>
      <bottom>
        <color indexed="63"/>
      </bottom>
    </border>
    <border>
      <left>
        <color indexed="63"/>
      </left>
      <right>
        <color indexed="63"/>
      </right>
      <top style="medium">
        <color indexed="8"/>
      </top>
      <bottom>
        <color indexed="63"/>
      </bottom>
    </border>
    <border>
      <left>
        <color indexed="63"/>
      </left>
      <right style="medium">
        <color indexed="8"/>
      </right>
      <top style="medium">
        <color indexed="8"/>
      </top>
      <bottom>
        <color indexed="63"/>
      </bottom>
    </border>
    <border>
      <left>
        <color indexed="63"/>
      </left>
      <right style="medium">
        <color indexed="8"/>
      </right>
      <top>
        <color indexed="63"/>
      </top>
      <bottom style="thin"/>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164" fontId="6" fillId="0" borderId="0">
      <alignment/>
      <protection/>
    </xf>
    <xf numFmtId="164" fontId="15" fillId="0" borderId="0">
      <alignment/>
      <protection/>
    </xf>
    <xf numFmtId="9" fontId="0" fillId="0" borderId="0" applyFont="0" applyFill="0" applyBorder="0" applyAlignment="0" applyProtection="0"/>
  </cellStyleXfs>
  <cellXfs count="661">
    <xf numFmtId="0" fontId="0" fillId="0" borderId="0" xfId="0" applyAlignment="1">
      <alignment/>
    </xf>
    <xf numFmtId="0" fontId="1" fillId="0" borderId="0" xfId="0" applyFont="1" applyAlignment="1">
      <alignment/>
    </xf>
    <xf numFmtId="0" fontId="2" fillId="0" borderId="0" xfId="0" applyFont="1" applyAlignment="1">
      <alignment/>
    </xf>
    <xf numFmtId="0" fontId="3" fillId="0" borderId="0" xfId="0" applyFont="1" applyAlignment="1">
      <alignment/>
    </xf>
    <xf numFmtId="3" fontId="0" fillId="0" borderId="0" xfId="0" applyNumberFormat="1" applyFont="1" applyAlignment="1">
      <alignment horizontal="center"/>
    </xf>
    <xf numFmtId="3" fontId="0" fillId="0" borderId="0" xfId="0" applyNumberFormat="1" applyAlignment="1">
      <alignment/>
    </xf>
    <xf numFmtId="3" fontId="1" fillId="0" borderId="0" xfId="0" applyNumberFormat="1" applyFont="1" applyAlignment="1">
      <alignment/>
    </xf>
    <xf numFmtId="1" fontId="1" fillId="0" borderId="0" xfId="0" applyNumberFormat="1" applyFont="1" applyAlignment="1">
      <alignment/>
    </xf>
    <xf numFmtId="0" fontId="0" fillId="0" borderId="0" xfId="0" applyFont="1" applyAlignment="1">
      <alignment/>
    </xf>
    <xf numFmtId="0" fontId="1" fillId="0" borderId="0" xfId="0" applyFont="1" applyAlignment="1">
      <alignment wrapText="1"/>
    </xf>
    <xf numFmtId="3" fontId="0" fillId="0" borderId="0" xfId="0" applyNumberFormat="1" applyFont="1" applyAlignment="1">
      <alignment/>
    </xf>
    <xf numFmtId="0" fontId="0" fillId="0" borderId="0" xfId="0" applyAlignment="1">
      <alignment wrapText="1"/>
    </xf>
    <xf numFmtId="0" fontId="1" fillId="0" borderId="0" xfId="0" applyFont="1" applyAlignment="1">
      <alignment horizontal="center" wrapText="1"/>
    </xf>
    <xf numFmtId="3" fontId="1" fillId="0" borderId="0" xfId="0" applyNumberFormat="1" applyFont="1" applyAlignment="1">
      <alignment horizontal="center" wrapText="1"/>
    </xf>
    <xf numFmtId="3" fontId="1" fillId="0" borderId="0" xfId="0" applyNumberFormat="1" applyFont="1" applyAlignment="1">
      <alignment horizontal="center"/>
    </xf>
    <xf numFmtId="0" fontId="1" fillId="0" borderId="0" xfId="0" applyFont="1" applyAlignment="1">
      <alignment horizontal="center"/>
    </xf>
    <xf numFmtId="0" fontId="2" fillId="0" borderId="0" xfId="0" applyFont="1" applyAlignment="1">
      <alignment horizontal="left"/>
    </xf>
    <xf numFmtId="1" fontId="0" fillId="0" borderId="0" xfId="0" applyNumberFormat="1" applyFont="1" applyAlignment="1">
      <alignment horizontal="left" wrapText="1"/>
    </xf>
    <xf numFmtId="3" fontId="1" fillId="0" borderId="0" xfId="0" applyNumberFormat="1" applyFont="1" applyAlignment="1">
      <alignment horizontal="left"/>
    </xf>
    <xf numFmtId="3" fontId="0" fillId="0" borderId="0" xfId="0" applyNumberFormat="1" applyFont="1" applyBorder="1" applyAlignment="1">
      <alignment horizontal="left"/>
    </xf>
    <xf numFmtId="165" fontId="8" fillId="0" borderId="0" xfId="0" applyNumberFormat="1" applyFont="1" applyAlignment="1">
      <alignment horizontal="left"/>
    </xf>
    <xf numFmtId="3" fontId="0" fillId="0" borderId="0" xfId="0" applyNumberFormat="1" applyFont="1" applyFill="1" applyAlignment="1">
      <alignment horizontal="center"/>
    </xf>
    <xf numFmtId="0" fontId="0" fillId="0" borderId="0" xfId="0" applyFont="1" applyFill="1" applyAlignment="1">
      <alignment horizontal="center"/>
    </xf>
    <xf numFmtId="0" fontId="1" fillId="0" borderId="0" xfId="0" applyFont="1" applyFill="1" applyAlignment="1">
      <alignment/>
    </xf>
    <xf numFmtId="0" fontId="0" fillId="0" borderId="0" xfId="0" applyFill="1" applyAlignment="1">
      <alignment/>
    </xf>
    <xf numFmtId="0" fontId="5" fillId="0" borderId="0" xfId="0" applyFont="1" applyFill="1" applyAlignment="1">
      <alignment/>
    </xf>
    <xf numFmtId="3" fontId="1" fillId="0" borderId="0" xfId="0" applyNumberFormat="1" applyFont="1" applyFill="1" applyAlignment="1">
      <alignment/>
    </xf>
    <xf numFmtId="3" fontId="1" fillId="0" borderId="0" xfId="0" applyNumberFormat="1" applyFont="1" applyFill="1" applyAlignment="1">
      <alignment horizontal="center"/>
    </xf>
    <xf numFmtId="0" fontId="0" fillId="0" borderId="0" xfId="0" applyFill="1" applyAlignment="1">
      <alignment wrapText="1"/>
    </xf>
    <xf numFmtId="0" fontId="1" fillId="0" borderId="0" xfId="0" applyFont="1" applyFill="1" applyAlignment="1">
      <alignment horizontal="center" wrapText="1"/>
    </xf>
    <xf numFmtId="3" fontId="0" fillId="0" borderId="0" xfId="0" applyNumberFormat="1" applyFont="1" applyFill="1" applyAlignment="1">
      <alignment/>
    </xf>
    <xf numFmtId="0" fontId="1" fillId="0" borderId="0" xfId="0" applyFont="1" applyFill="1" applyAlignment="1">
      <alignment horizontal="center"/>
    </xf>
    <xf numFmtId="3" fontId="1" fillId="0" borderId="0" xfId="0" applyNumberFormat="1" applyFont="1" applyFill="1" applyAlignment="1">
      <alignment/>
    </xf>
    <xf numFmtId="0" fontId="0" fillId="0" borderId="0" xfId="0" applyFont="1" applyFill="1" applyAlignment="1">
      <alignment/>
    </xf>
    <xf numFmtId="169" fontId="0" fillId="0" borderId="0" xfId="0" applyNumberFormat="1" applyFont="1" applyFill="1" applyAlignment="1">
      <alignment horizontal="center"/>
    </xf>
    <xf numFmtId="172" fontId="0" fillId="0" borderId="0" xfId="0" applyNumberFormat="1" applyFont="1" applyFill="1" applyAlignment="1">
      <alignment horizontal="center"/>
    </xf>
    <xf numFmtId="3" fontId="1" fillId="0" borderId="0" xfId="0" applyNumberFormat="1" applyFont="1" applyFill="1" applyAlignment="1">
      <alignment horizontal="left"/>
    </xf>
    <xf numFmtId="0" fontId="1" fillId="0" borderId="1" xfId="0" applyFont="1" applyFill="1" applyBorder="1" applyAlignment="1">
      <alignment horizontal="center" wrapText="1"/>
    </xf>
    <xf numFmtId="0" fontId="1" fillId="0" borderId="2" xfId="0" applyFont="1" applyBorder="1" applyAlignment="1">
      <alignment horizontal="left" wrapText="1"/>
    </xf>
    <xf numFmtId="0" fontId="1" fillId="0" borderId="3" xfId="0" applyFont="1" applyFill="1" applyBorder="1" applyAlignment="1">
      <alignment horizontal="center" wrapText="1"/>
    </xf>
    <xf numFmtId="0" fontId="1" fillId="0" borderId="4" xfId="0" applyFont="1" applyFill="1" applyBorder="1" applyAlignment="1">
      <alignment horizontal="center"/>
    </xf>
    <xf numFmtId="164" fontId="16" fillId="0" borderId="0" xfId="22" applyNumberFormat="1" applyFont="1" applyFill="1" applyBorder="1" applyAlignment="1" applyProtection="1">
      <alignment horizontal="center" wrapText="1"/>
      <protection/>
    </xf>
    <xf numFmtId="3" fontId="0" fillId="0" borderId="5" xfId="0" applyNumberFormat="1" applyFont="1" applyFill="1" applyBorder="1" applyAlignment="1">
      <alignment horizontal="center"/>
    </xf>
    <xf numFmtId="0" fontId="1" fillId="0" borderId="1" xfId="0" applyFont="1" applyBorder="1" applyAlignment="1">
      <alignment horizontal="center" wrapText="1"/>
    </xf>
    <xf numFmtId="3" fontId="0" fillId="0" borderId="6" xfId="0" applyNumberFormat="1" applyFont="1" applyFill="1" applyBorder="1" applyAlignment="1">
      <alignment horizontal="center"/>
    </xf>
    <xf numFmtId="3" fontId="1" fillId="0" borderId="7" xfId="0" applyNumberFormat="1" applyFont="1" applyFill="1" applyBorder="1" applyAlignment="1">
      <alignment horizontal="center"/>
    </xf>
    <xf numFmtId="3" fontId="1" fillId="0" borderId="8" xfId="0" applyNumberFormat="1" applyFont="1" applyFill="1" applyBorder="1" applyAlignment="1">
      <alignment horizontal="center"/>
    </xf>
    <xf numFmtId="3" fontId="1" fillId="0" borderId="5" xfId="0" applyNumberFormat="1" applyFont="1" applyFill="1" applyBorder="1" applyAlignment="1">
      <alignment horizontal="center" wrapText="1"/>
    </xf>
    <xf numFmtId="3" fontId="1" fillId="0" borderId="9" xfId="0" applyNumberFormat="1" applyFont="1" applyFill="1" applyBorder="1" applyAlignment="1">
      <alignment horizontal="center"/>
    </xf>
    <xf numFmtId="3" fontId="1" fillId="0" borderId="10" xfId="0" applyNumberFormat="1" applyFont="1" applyFill="1" applyBorder="1" applyAlignment="1">
      <alignment horizontal="center"/>
    </xf>
    <xf numFmtId="3" fontId="1" fillId="0" borderId="3" xfId="0" applyNumberFormat="1" applyFont="1" applyFill="1" applyBorder="1" applyAlignment="1">
      <alignment horizontal="center" wrapText="1"/>
    </xf>
    <xf numFmtId="3" fontId="1" fillId="0" borderId="1" xfId="0" applyNumberFormat="1" applyFont="1" applyFill="1" applyBorder="1" applyAlignment="1">
      <alignment horizontal="center" wrapText="1"/>
    </xf>
    <xf numFmtId="0" fontId="0" fillId="0" borderId="5" xfId="0" applyFont="1" applyFill="1" applyBorder="1" applyAlignment="1">
      <alignment horizontal="center"/>
    </xf>
    <xf numFmtId="0" fontId="1" fillId="0" borderId="11" xfId="0" applyFont="1" applyFill="1" applyBorder="1" applyAlignment="1">
      <alignment horizontal="center"/>
    </xf>
    <xf numFmtId="1" fontId="1" fillId="0" borderId="12" xfId="0" applyNumberFormat="1" applyFont="1" applyFill="1" applyBorder="1" applyAlignment="1">
      <alignment horizontal="center"/>
    </xf>
    <xf numFmtId="0" fontId="1" fillId="0" borderId="2" xfId="0" applyFont="1" applyFill="1" applyBorder="1" applyAlignment="1">
      <alignment horizontal="center" wrapText="1"/>
    </xf>
    <xf numFmtId="4" fontId="0" fillId="0" borderId="5" xfId="0" applyNumberFormat="1" applyFont="1" applyFill="1" applyBorder="1" applyAlignment="1">
      <alignment horizontal="center"/>
    </xf>
    <xf numFmtId="169" fontId="0" fillId="0" borderId="13" xfId="0" applyNumberFormat="1" applyFont="1" applyFill="1" applyBorder="1" applyAlignment="1">
      <alignment horizontal="center"/>
    </xf>
    <xf numFmtId="0" fontId="1" fillId="0" borderId="13" xfId="0" applyFont="1" applyFill="1" applyBorder="1" applyAlignment="1">
      <alignment/>
    </xf>
    <xf numFmtId="3" fontId="1" fillId="0" borderId="14" xfId="0" applyNumberFormat="1" applyFont="1" applyFill="1" applyBorder="1" applyAlignment="1">
      <alignment horizontal="center"/>
    </xf>
    <xf numFmtId="0" fontId="1" fillId="0" borderId="15" xfId="0" applyFont="1" applyFill="1" applyBorder="1" applyAlignment="1">
      <alignment horizontal="center"/>
    </xf>
    <xf numFmtId="0" fontId="0" fillId="0" borderId="13" xfId="0" applyFont="1" applyFill="1" applyBorder="1" applyAlignment="1">
      <alignment horizontal="center"/>
    </xf>
    <xf numFmtId="0" fontId="1" fillId="0" borderId="3" xfId="0" applyFont="1" applyBorder="1" applyAlignment="1">
      <alignment horizontal="center" wrapText="1"/>
    </xf>
    <xf numFmtId="3" fontId="0" fillId="0" borderId="9" xfId="0" applyNumberFormat="1" applyFont="1" applyBorder="1" applyAlignment="1">
      <alignment horizontal="center" vertical="center" wrapText="1"/>
    </xf>
    <xf numFmtId="3" fontId="0" fillId="0" borderId="13" xfId="0" applyNumberFormat="1" applyFont="1" applyFill="1" applyBorder="1" applyAlignment="1">
      <alignment horizontal="center"/>
    </xf>
    <xf numFmtId="0" fontId="0" fillId="0" borderId="0" xfId="0" applyFont="1" applyAlignment="1">
      <alignment horizontal="left" wrapText="1"/>
    </xf>
    <xf numFmtId="1" fontId="0" fillId="0" borderId="0" xfId="0" applyNumberFormat="1" applyFont="1" applyAlignment="1">
      <alignment horizontal="left"/>
    </xf>
    <xf numFmtId="3" fontId="0" fillId="0" borderId="9" xfId="0" applyNumberFormat="1" applyFont="1" applyBorder="1" applyAlignment="1">
      <alignment horizontal="center"/>
    </xf>
    <xf numFmtId="0" fontId="1" fillId="0" borderId="16" xfId="0" applyFont="1" applyBorder="1" applyAlignment="1">
      <alignment horizontal="left"/>
    </xf>
    <xf numFmtId="0" fontId="0" fillId="0" borderId="0" xfId="0" applyAlignment="1">
      <alignment/>
    </xf>
    <xf numFmtId="3" fontId="0" fillId="0" borderId="0" xfId="0" applyNumberFormat="1" applyFont="1" applyAlignment="1">
      <alignment/>
    </xf>
    <xf numFmtId="0" fontId="2" fillId="0" borderId="0" xfId="0" applyFont="1" applyFill="1" applyAlignment="1">
      <alignment/>
    </xf>
    <xf numFmtId="3" fontId="1" fillId="0" borderId="17" xfId="0" applyNumberFormat="1" applyFont="1" applyFill="1" applyBorder="1" applyAlignment="1">
      <alignment horizontal="center" wrapText="1"/>
    </xf>
    <xf numFmtId="3" fontId="0" fillId="0" borderId="18" xfId="0" applyNumberFormat="1" applyFont="1" applyFill="1" applyBorder="1" applyAlignment="1">
      <alignment horizontal="center"/>
    </xf>
    <xf numFmtId="3" fontId="0" fillId="0" borderId="16" xfId="0" applyNumberFormat="1" applyFont="1" applyFill="1" applyBorder="1" applyAlignment="1">
      <alignment horizontal="center"/>
    </xf>
    <xf numFmtId="3" fontId="1" fillId="0" borderId="2" xfId="0" applyNumberFormat="1" applyFont="1" applyFill="1" applyBorder="1" applyAlignment="1">
      <alignment horizontal="center" wrapText="1"/>
    </xf>
    <xf numFmtId="172" fontId="0" fillId="0" borderId="18" xfId="0" applyNumberFormat="1" applyFont="1" applyFill="1" applyBorder="1" applyAlignment="1">
      <alignment horizontal="center"/>
    </xf>
    <xf numFmtId="172" fontId="0" fillId="0" borderId="16" xfId="0" applyNumberFormat="1" applyFont="1" applyFill="1" applyBorder="1" applyAlignment="1">
      <alignment horizontal="center"/>
    </xf>
    <xf numFmtId="0" fontId="1" fillId="0" borderId="0" xfId="0" applyFont="1" applyBorder="1" applyAlignment="1">
      <alignment horizontal="left"/>
    </xf>
    <xf numFmtId="1" fontId="0" fillId="0" borderId="0" xfId="0" applyNumberFormat="1" applyFont="1" applyBorder="1" applyAlignment="1">
      <alignment horizontal="center"/>
    </xf>
    <xf numFmtId="3" fontId="0" fillId="0" borderId="0" xfId="0" applyNumberFormat="1" applyFont="1" applyBorder="1" applyAlignment="1">
      <alignment horizontal="center"/>
    </xf>
    <xf numFmtId="3" fontId="0" fillId="0" borderId="0" xfId="0" applyNumberFormat="1" applyFont="1" applyBorder="1" applyAlignment="1">
      <alignment horizontal="center" vertical="center" wrapText="1"/>
    </xf>
    <xf numFmtId="3" fontId="0" fillId="0" borderId="0" xfId="0" applyNumberFormat="1" applyFont="1" applyFill="1" applyBorder="1" applyAlignment="1">
      <alignment horizontal="center" vertical="center"/>
    </xf>
    <xf numFmtId="3" fontId="0" fillId="0" borderId="9" xfId="0" applyNumberFormat="1" applyFont="1" applyFill="1" applyBorder="1" applyAlignment="1">
      <alignment horizontal="center" vertical="center"/>
    </xf>
    <xf numFmtId="3" fontId="0" fillId="0" borderId="5" xfId="0" applyNumberFormat="1" applyFont="1" applyFill="1" applyBorder="1" applyAlignment="1">
      <alignment horizontal="center" vertical="center"/>
    </xf>
    <xf numFmtId="165" fontId="1" fillId="0" borderId="0" xfId="0" applyNumberFormat="1" applyFont="1" applyAlignment="1">
      <alignment horizontal="right"/>
    </xf>
    <xf numFmtId="1" fontId="1" fillId="0" borderId="5" xfId="0" applyNumberFormat="1" applyFont="1" applyFill="1" applyBorder="1" applyAlignment="1">
      <alignment horizontal="center" wrapText="1"/>
    </xf>
    <xf numFmtId="1" fontId="1" fillId="0" borderId="5" xfId="0" applyNumberFormat="1" applyFont="1" applyFill="1" applyBorder="1" applyAlignment="1">
      <alignment horizontal="center"/>
    </xf>
    <xf numFmtId="0" fontId="0" fillId="0" borderId="0" xfId="0" applyFont="1" applyAlignment="1">
      <alignment/>
    </xf>
    <xf numFmtId="0" fontId="24" fillId="0" borderId="0" xfId="0" applyFont="1" applyAlignment="1">
      <alignment/>
    </xf>
    <xf numFmtId="3" fontId="24" fillId="0" borderId="0" xfId="0" applyNumberFormat="1" applyFont="1" applyAlignment="1">
      <alignment/>
    </xf>
    <xf numFmtId="3" fontId="1" fillId="0" borderId="0" xfId="0" applyNumberFormat="1" applyFont="1" applyFill="1" applyBorder="1" applyAlignment="1">
      <alignment horizontal="center"/>
    </xf>
    <xf numFmtId="3" fontId="1" fillId="2" borderId="11" xfId="0" applyNumberFormat="1" applyFont="1" applyFill="1" applyBorder="1" applyAlignment="1">
      <alignment horizontal="center" wrapText="1"/>
    </xf>
    <xf numFmtId="3" fontId="1" fillId="2" borderId="19" xfId="0" applyNumberFormat="1" applyFont="1" applyFill="1" applyBorder="1" applyAlignment="1">
      <alignment horizontal="center" wrapText="1"/>
    </xf>
    <xf numFmtId="169" fontId="0" fillId="2" borderId="19" xfId="0" applyNumberFormat="1" applyFont="1" applyFill="1" applyBorder="1" applyAlignment="1">
      <alignment horizontal="center"/>
    </xf>
    <xf numFmtId="169" fontId="0" fillId="2" borderId="20" xfId="0" applyNumberFormat="1" applyFont="1" applyFill="1" applyBorder="1" applyAlignment="1">
      <alignment horizontal="center"/>
    </xf>
    <xf numFmtId="3" fontId="0" fillId="2" borderId="21" xfId="0" applyNumberFormat="1" applyFont="1" applyFill="1" applyBorder="1" applyAlignment="1">
      <alignment horizontal="center"/>
    </xf>
    <xf numFmtId="169" fontId="0" fillId="2" borderId="21" xfId="0" applyNumberFormat="1" applyFont="1" applyFill="1" applyBorder="1" applyAlignment="1">
      <alignment horizontal="center"/>
    </xf>
    <xf numFmtId="169" fontId="0" fillId="2" borderId="22" xfId="0" applyNumberFormat="1" applyFont="1" applyFill="1" applyBorder="1" applyAlignment="1">
      <alignment horizontal="center"/>
    </xf>
    <xf numFmtId="3" fontId="0" fillId="2" borderId="11" xfId="0" applyNumberFormat="1" applyFont="1" applyFill="1" applyBorder="1" applyAlignment="1">
      <alignment horizontal="center"/>
    </xf>
    <xf numFmtId="0" fontId="0" fillId="0" borderId="0" xfId="0" applyFont="1" applyAlignment="1">
      <alignment wrapText="1"/>
    </xf>
    <xf numFmtId="0" fontId="25" fillId="0" borderId="0" xfId="0" applyFont="1" applyAlignment="1">
      <alignment/>
    </xf>
    <xf numFmtId="3" fontId="1" fillId="0" borderId="23" xfId="0" applyNumberFormat="1" applyFont="1" applyFill="1" applyBorder="1" applyAlignment="1">
      <alignment horizontal="center" wrapText="1"/>
    </xf>
    <xf numFmtId="3" fontId="0" fillId="2" borderId="19" xfId="0" applyNumberFormat="1" applyFont="1" applyFill="1" applyBorder="1" applyAlignment="1">
      <alignment horizontal="center"/>
    </xf>
    <xf numFmtId="3" fontId="0" fillId="0" borderId="9" xfId="0" applyNumberFormat="1" applyFont="1" applyFill="1" applyBorder="1" applyAlignment="1">
      <alignment horizontal="center"/>
    </xf>
    <xf numFmtId="0" fontId="28" fillId="0" borderId="0" xfId="0" applyFont="1" applyFill="1" applyAlignment="1">
      <alignment/>
    </xf>
    <xf numFmtId="0" fontId="1" fillId="0" borderId="0" xfId="0" applyFont="1" applyFill="1" applyBorder="1" applyAlignment="1">
      <alignment horizontal="center" wrapText="1"/>
    </xf>
    <xf numFmtId="0" fontId="0" fillId="0" borderId="0" xfId="0" applyFont="1" applyFill="1" applyAlignment="1">
      <alignment horizontal="left"/>
    </xf>
    <xf numFmtId="0" fontId="26" fillId="0" borderId="0" xfId="0" applyFont="1" applyFill="1" applyAlignment="1">
      <alignment wrapText="1"/>
    </xf>
    <xf numFmtId="0" fontId="26" fillId="0" borderId="0" xfId="0" applyFont="1" applyAlignment="1">
      <alignment/>
    </xf>
    <xf numFmtId="0" fontId="1" fillId="2" borderId="21" xfId="0" applyFont="1" applyFill="1" applyBorder="1" applyAlignment="1">
      <alignment horizontal="center" wrapText="1"/>
    </xf>
    <xf numFmtId="3" fontId="0" fillId="0" borderId="5" xfId="0" applyNumberFormat="1" applyFont="1" applyFill="1" applyBorder="1" applyAlignment="1" quotePrefix="1">
      <alignment horizontal="center"/>
    </xf>
    <xf numFmtId="3" fontId="0" fillId="0" borderId="24" xfId="0" applyNumberFormat="1" applyFont="1" applyFill="1" applyBorder="1" applyAlignment="1">
      <alignment horizontal="center"/>
    </xf>
    <xf numFmtId="3" fontId="1" fillId="0" borderId="25" xfId="0" applyNumberFormat="1" applyFont="1" applyBorder="1" applyAlignment="1">
      <alignment/>
    </xf>
    <xf numFmtId="0" fontId="1" fillId="0" borderId="25" xfId="0" applyFont="1" applyBorder="1" applyAlignment="1">
      <alignment/>
    </xf>
    <xf numFmtId="175" fontId="0" fillId="0" borderId="5" xfId="0" applyNumberFormat="1" applyFont="1" applyFill="1" applyBorder="1" applyAlignment="1">
      <alignment horizontal="center"/>
    </xf>
    <xf numFmtId="0" fontId="0" fillId="0" borderId="0" xfId="0" applyFont="1" applyFill="1" applyAlignment="1">
      <alignment wrapText="1"/>
    </xf>
    <xf numFmtId="3" fontId="0" fillId="0" borderId="0" xfId="0" applyNumberFormat="1" applyFont="1" applyFill="1" applyAlignment="1">
      <alignment wrapText="1"/>
    </xf>
    <xf numFmtId="10" fontId="1" fillId="0" borderId="3" xfId="0" applyNumberFormat="1" applyFont="1" applyBorder="1" applyAlignment="1">
      <alignment horizontal="center"/>
    </xf>
    <xf numFmtId="3" fontId="0" fillId="0" borderId="0" xfId="0" applyNumberFormat="1" applyFont="1" applyFill="1" applyAlignment="1">
      <alignment horizontal="center" wrapText="1"/>
    </xf>
    <xf numFmtId="0" fontId="0" fillId="0" borderId="0" xfId="0" applyFont="1" applyFill="1" applyAlignment="1">
      <alignment horizontal="center" wrapText="1"/>
    </xf>
    <xf numFmtId="0" fontId="0" fillId="0" borderId="6" xfId="0" applyFont="1" applyFill="1" applyBorder="1" applyAlignment="1">
      <alignment horizontal="center"/>
    </xf>
    <xf numFmtId="0" fontId="0" fillId="0" borderId="12" xfId="0" applyFont="1" applyFill="1" applyBorder="1" applyAlignment="1">
      <alignment horizontal="center"/>
    </xf>
    <xf numFmtId="0" fontId="1" fillId="0" borderId="11" xfId="0" applyFont="1" applyFill="1" applyBorder="1" applyAlignment="1">
      <alignment horizontal="center" wrapText="1"/>
    </xf>
    <xf numFmtId="0" fontId="25" fillId="0" borderId="0" xfId="0" applyFont="1" applyFill="1" applyAlignment="1">
      <alignment wrapText="1"/>
    </xf>
    <xf numFmtId="0" fontId="4" fillId="0" borderId="0" xfId="0" applyFont="1" applyAlignment="1">
      <alignment horizontal="left"/>
    </xf>
    <xf numFmtId="39" fontId="0" fillId="0" borderId="0" xfId="0" applyNumberFormat="1" applyFont="1" applyFill="1" applyAlignment="1">
      <alignment wrapText="1"/>
    </xf>
    <xf numFmtId="3" fontId="25" fillId="0" borderId="0" xfId="0" applyNumberFormat="1" applyFont="1" applyAlignment="1">
      <alignment horizontal="center"/>
    </xf>
    <xf numFmtId="3" fontId="0" fillId="0" borderId="0" xfId="0" applyNumberFormat="1" applyFont="1" applyAlignment="1">
      <alignment horizontal="center" wrapText="1"/>
    </xf>
    <xf numFmtId="0" fontId="0" fillId="0" borderId="0" xfId="0" applyFont="1" applyAlignment="1">
      <alignment horizontal="center" wrapText="1"/>
    </xf>
    <xf numFmtId="3" fontId="0" fillId="0" borderId="0" xfId="0" applyNumberFormat="1" applyFont="1" applyBorder="1" applyAlignment="1">
      <alignment/>
    </xf>
    <xf numFmtId="0" fontId="0" fillId="0" borderId="0" xfId="0" applyFont="1" applyAlignment="1">
      <alignment horizontal="center"/>
    </xf>
    <xf numFmtId="3" fontId="0" fillId="2" borderId="21" xfId="0" applyNumberFormat="1" applyFont="1" applyFill="1" applyBorder="1" applyAlignment="1">
      <alignment/>
    </xf>
    <xf numFmtId="0" fontId="25" fillId="0" borderId="0" xfId="0" applyFont="1" applyFill="1" applyAlignment="1">
      <alignment/>
    </xf>
    <xf numFmtId="3" fontId="25" fillId="0" borderId="6" xfId="0" applyNumberFormat="1" applyFont="1" applyFill="1" applyBorder="1" applyAlignment="1">
      <alignment horizontal="center"/>
    </xf>
    <xf numFmtId="0" fontId="25" fillId="0" borderId="14" xfId="0" applyFont="1" applyFill="1" applyBorder="1" applyAlignment="1">
      <alignment horizontal="center"/>
    </xf>
    <xf numFmtId="3" fontId="25" fillId="0" borderId="0" xfId="0" applyNumberFormat="1" applyFont="1" applyFill="1" applyBorder="1" applyAlignment="1">
      <alignment horizontal="center" vertical="center"/>
    </xf>
    <xf numFmtId="3" fontId="25" fillId="0" borderId="7" xfId="0" applyNumberFormat="1" applyFont="1" applyFill="1" applyBorder="1" applyAlignment="1">
      <alignment horizontal="center"/>
    </xf>
    <xf numFmtId="0" fontId="36" fillId="0" borderId="0" xfId="0" applyFont="1" applyFill="1" applyAlignment="1">
      <alignment/>
    </xf>
    <xf numFmtId="0" fontId="25" fillId="0" borderId="0" xfId="0" applyFont="1" applyFill="1" applyAlignment="1">
      <alignment/>
    </xf>
    <xf numFmtId="0" fontId="25" fillId="0" borderId="26" xfId="0" applyFont="1" applyFill="1" applyBorder="1" applyAlignment="1">
      <alignment/>
    </xf>
    <xf numFmtId="164" fontId="5" fillId="0" borderId="27" xfId="21" applyNumberFormat="1" applyFont="1" applyFill="1" applyBorder="1" applyAlignment="1" applyProtection="1">
      <alignment horizontal="center" wrapText="1"/>
      <protection/>
    </xf>
    <xf numFmtId="3" fontId="5" fillId="0" borderId="28" xfId="21" applyNumberFormat="1" applyFont="1" applyFill="1" applyBorder="1" applyAlignment="1" applyProtection="1">
      <alignment horizontal="center" wrapText="1"/>
      <protection/>
    </xf>
    <xf numFmtId="3" fontId="5" fillId="0" borderId="24" xfId="21" applyNumberFormat="1" applyFont="1" applyFill="1" applyBorder="1" applyAlignment="1" applyProtection="1">
      <alignment horizontal="center" wrapText="1"/>
      <protection/>
    </xf>
    <xf numFmtId="0" fontId="5" fillId="0" borderId="28" xfId="0" applyFont="1" applyFill="1" applyBorder="1" applyAlignment="1">
      <alignment horizontal="center" wrapText="1"/>
    </xf>
    <xf numFmtId="164" fontId="5" fillId="0" borderId="24" xfId="21" applyNumberFormat="1" applyFont="1" applyFill="1" applyBorder="1" applyAlignment="1" applyProtection="1">
      <alignment horizontal="center" wrapText="1"/>
      <protection/>
    </xf>
    <xf numFmtId="3" fontId="5" fillId="0" borderId="29" xfId="21" applyNumberFormat="1" applyFont="1" applyFill="1" applyBorder="1" applyAlignment="1" applyProtection="1">
      <alignment horizontal="center" wrapText="1"/>
      <protection/>
    </xf>
    <xf numFmtId="39" fontId="25" fillId="0" borderId="30" xfId="15" applyNumberFormat="1" applyFont="1" applyFill="1" applyBorder="1" applyAlignment="1" applyProtection="1">
      <alignment/>
      <protection/>
    </xf>
    <xf numFmtId="39" fontId="25" fillId="0" borderId="2" xfId="15" applyNumberFormat="1" applyFont="1" applyFill="1" applyBorder="1" applyAlignment="1" applyProtection="1">
      <alignment horizontal="center"/>
      <protection/>
    </xf>
    <xf numFmtId="200" fontId="25" fillId="0" borderId="0" xfId="15" applyNumberFormat="1" applyFont="1" applyFill="1" applyBorder="1" applyAlignment="1">
      <alignment/>
    </xf>
    <xf numFmtId="200" fontId="25" fillId="0" borderId="0" xfId="15" applyNumberFormat="1" applyFont="1" applyFill="1" applyAlignment="1">
      <alignment/>
    </xf>
    <xf numFmtId="39" fontId="25" fillId="0" borderId="18" xfId="15" applyNumberFormat="1" applyFont="1" applyFill="1" applyBorder="1" applyAlignment="1" applyProtection="1">
      <alignment horizontal="center"/>
      <protection/>
    </xf>
    <xf numFmtId="39" fontId="25" fillId="0" borderId="30" xfId="15" applyNumberFormat="1" applyFont="1" applyFill="1" applyBorder="1" applyAlignment="1" applyProtection="1">
      <alignment horizontal="left"/>
      <protection/>
    </xf>
    <xf numFmtId="0" fontId="25" fillId="0" borderId="30" xfId="0" applyFont="1" applyFill="1" applyBorder="1" applyAlignment="1">
      <alignment/>
    </xf>
    <xf numFmtId="0" fontId="25" fillId="0" borderId="31" xfId="0" applyFont="1" applyFill="1" applyBorder="1" applyAlignment="1">
      <alignment/>
    </xf>
    <xf numFmtId="173" fontId="25" fillId="0" borderId="18" xfId="0" applyNumberFormat="1" applyFont="1" applyFill="1" applyBorder="1" applyAlignment="1">
      <alignment horizontal="center"/>
    </xf>
    <xf numFmtId="173" fontId="25" fillId="0" borderId="16" xfId="0" applyNumberFormat="1" applyFont="1" applyFill="1" applyBorder="1" applyAlignment="1">
      <alignment horizontal="center"/>
    </xf>
    <xf numFmtId="0" fontId="25" fillId="0" borderId="0" xfId="0" applyFont="1" applyFill="1" applyAlignment="1">
      <alignment horizontal="right" vertical="top"/>
    </xf>
    <xf numFmtId="0" fontId="5" fillId="0" borderId="26" xfId="0" applyFont="1" applyFill="1" applyBorder="1" applyAlignment="1">
      <alignment/>
    </xf>
    <xf numFmtId="164" fontId="38" fillId="0" borderId="0" xfId="22" applyFont="1" applyFill="1" applyBorder="1" applyAlignment="1">
      <alignment horizontal="center" wrapText="1"/>
      <protection/>
    </xf>
    <xf numFmtId="164" fontId="38" fillId="0" borderId="0" xfId="22" applyNumberFormat="1" applyFont="1" applyFill="1" applyBorder="1" applyAlignment="1" applyProtection="1">
      <alignment horizontal="center" wrapText="1"/>
      <protection/>
    </xf>
    <xf numFmtId="0" fontId="5" fillId="0" borderId="32" xfId="0" applyFont="1" applyFill="1" applyBorder="1" applyAlignment="1">
      <alignment/>
    </xf>
    <xf numFmtId="0" fontId="5" fillId="0" borderId="33" xfId="0" applyFont="1" applyFill="1" applyBorder="1" applyAlignment="1">
      <alignment/>
    </xf>
    <xf numFmtId="164" fontId="38" fillId="0" borderId="18" xfId="22" applyNumberFormat="1" applyFont="1" applyFill="1" applyBorder="1" applyAlignment="1" applyProtection="1">
      <alignment horizontal="center" wrapText="1"/>
      <protection/>
    </xf>
    <xf numFmtId="164" fontId="38" fillId="0" borderId="5" xfId="22" applyNumberFormat="1" applyFont="1" applyFill="1" applyBorder="1" applyAlignment="1" applyProtection="1">
      <alignment horizontal="center" wrapText="1"/>
      <protection/>
    </xf>
    <xf numFmtId="0" fontId="5" fillId="0" borderId="5" xfId="0" applyFont="1" applyFill="1" applyBorder="1" applyAlignment="1">
      <alignment horizontal="center" wrapText="1"/>
    </xf>
    <xf numFmtId="164" fontId="38" fillId="0" borderId="6" xfId="22" applyNumberFormat="1" applyFont="1" applyFill="1" applyBorder="1" applyAlignment="1" applyProtection="1">
      <alignment horizontal="center" wrapText="1"/>
      <protection/>
    </xf>
    <xf numFmtId="164" fontId="37" fillId="0" borderId="0" xfId="22" applyNumberFormat="1" applyFont="1" applyFill="1" applyBorder="1" applyAlignment="1" applyProtection="1">
      <alignment horizontal="center" wrapText="1"/>
      <protection/>
    </xf>
    <xf numFmtId="174" fontId="37" fillId="0" borderId="0" xfId="22" applyNumberFormat="1" applyFont="1" applyFill="1" applyBorder="1" applyAlignment="1" applyProtection="1">
      <alignment horizontal="center" wrapText="1"/>
      <protection/>
    </xf>
    <xf numFmtId="39" fontId="37" fillId="0" borderId="33" xfId="15" applyNumberFormat="1" applyFont="1" applyFill="1" applyBorder="1" applyAlignment="1" applyProtection="1">
      <alignment/>
      <protection/>
    </xf>
    <xf numFmtId="39" fontId="25" fillId="0" borderId="0" xfId="0" applyNumberFormat="1" applyFont="1" applyFill="1" applyBorder="1" applyAlignment="1">
      <alignment horizontal="right"/>
    </xf>
    <xf numFmtId="43" fontId="25" fillId="0" borderId="0" xfId="15" applyFont="1" applyFill="1" applyBorder="1" applyAlignment="1">
      <alignment horizontal="right"/>
    </xf>
    <xf numFmtId="43" fontId="25" fillId="0" borderId="0" xfId="15" applyFont="1" applyFill="1" applyBorder="1" applyAlignment="1">
      <alignment/>
    </xf>
    <xf numFmtId="39" fontId="37" fillId="0" borderId="30" xfId="15" applyNumberFormat="1" applyFont="1" applyFill="1" applyBorder="1" applyAlignment="1" applyProtection="1">
      <alignment/>
      <protection/>
    </xf>
    <xf numFmtId="0" fontId="25" fillId="0" borderId="0" xfId="0" applyFont="1" applyFill="1" applyBorder="1" applyAlignment="1">
      <alignment/>
    </xf>
    <xf numFmtId="39" fontId="37" fillId="0" borderId="30" xfId="15" applyNumberFormat="1" applyFont="1" applyFill="1" applyBorder="1" applyAlignment="1" applyProtection="1">
      <alignment horizontal="left"/>
      <protection/>
    </xf>
    <xf numFmtId="198" fontId="25" fillId="0" borderId="0" xfId="15" applyNumberFormat="1" applyFont="1" applyFill="1" applyBorder="1" applyAlignment="1">
      <alignment/>
    </xf>
    <xf numFmtId="0" fontId="37" fillId="0" borderId="30" xfId="0" applyFont="1" applyFill="1" applyBorder="1" applyAlignment="1">
      <alignment/>
    </xf>
    <xf numFmtId="0" fontId="37" fillId="0" borderId="31" xfId="0" applyFont="1" applyFill="1" applyBorder="1" applyAlignment="1">
      <alignment/>
    </xf>
    <xf numFmtId="0" fontId="25" fillId="0" borderId="0" xfId="0" applyFont="1" applyFill="1" applyBorder="1" applyAlignment="1">
      <alignment/>
    </xf>
    <xf numFmtId="173" fontId="25" fillId="0" borderId="0" xfId="0" applyNumberFormat="1" applyFont="1" applyFill="1" applyBorder="1" applyAlignment="1">
      <alignment/>
    </xf>
    <xf numFmtId="173" fontId="25" fillId="0" borderId="0" xfId="0" applyNumberFormat="1" applyFont="1" applyFill="1" applyBorder="1" applyAlignment="1">
      <alignment/>
    </xf>
    <xf numFmtId="3" fontId="25" fillId="0" borderId="0" xfId="0" applyNumberFormat="1" applyFont="1" applyFill="1" applyBorder="1" applyAlignment="1">
      <alignment horizontal="center"/>
    </xf>
    <xf numFmtId="3" fontId="25" fillId="0" borderId="0" xfId="0" applyNumberFormat="1" applyFont="1" applyFill="1" applyBorder="1" applyAlignment="1">
      <alignment horizontal="center" vertical="center" wrapText="1"/>
    </xf>
    <xf numFmtId="0" fontId="25" fillId="0" borderId="6" xfId="0" applyFont="1" applyFill="1" applyBorder="1" applyAlignment="1">
      <alignment horizontal="center" vertical="center" wrapText="1"/>
    </xf>
    <xf numFmtId="0" fontId="39" fillId="0" borderId="0" xfId="0" applyFont="1" applyFill="1" applyAlignment="1">
      <alignment horizontal="center"/>
    </xf>
    <xf numFmtId="0" fontId="25" fillId="0" borderId="34" xfId="0" applyFont="1" applyFill="1" applyBorder="1" applyAlignment="1">
      <alignment wrapText="1"/>
    </xf>
    <xf numFmtId="0" fontId="25" fillId="0" borderId="34" xfId="0" applyFont="1" applyFill="1" applyBorder="1" applyAlignment="1">
      <alignment horizontal="center"/>
    </xf>
    <xf numFmtId="0" fontId="39" fillId="0" borderId="34" xfId="0" applyFont="1" applyFill="1" applyBorder="1" applyAlignment="1">
      <alignment horizontal="center" wrapText="1"/>
    </xf>
    <xf numFmtId="0" fontId="25" fillId="0" borderId="14" xfId="0" applyFont="1" applyFill="1" applyBorder="1" applyAlignment="1">
      <alignment wrapText="1"/>
    </xf>
    <xf numFmtId="0" fontId="25" fillId="0" borderId="14" xfId="0" applyFont="1" applyFill="1" applyBorder="1" applyAlignment="1">
      <alignment/>
    </xf>
    <xf numFmtId="1" fontId="25" fillId="0" borderId="14" xfId="0" applyNumberFormat="1" applyFont="1" applyFill="1" applyBorder="1" applyAlignment="1">
      <alignment horizontal="center"/>
    </xf>
    <xf numFmtId="168" fontId="25" fillId="0" borderId="14" xfId="0" applyNumberFormat="1" applyFont="1" applyFill="1" applyBorder="1" applyAlignment="1">
      <alignment horizontal="center"/>
    </xf>
    <xf numFmtId="175" fontId="25" fillId="0" borderId="14" xfId="0" applyNumberFormat="1" applyFont="1" applyFill="1" applyBorder="1" applyAlignment="1">
      <alignment horizontal="center"/>
    </xf>
    <xf numFmtId="2" fontId="25" fillId="0" borderId="14" xfId="0" applyNumberFormat="1" applyFont="1" applyFill="1" applyBorder="1" applyAlignment="1">
      <alignment horizontal="center"/>
    </xf>
    <xf numFmtId="2" fontId="25" fillId="0" borderId="14" xfId="0" applyNumberFormat="1" applyFont="1" applyFill="1" applyBorder="1" applyAlignment="1">
      <alignment horizontal="center" wrapText="1"/>
    </xf>
    <xf numFmtId="3" fontId="5" fillId="3" borderId="5" xfId="0" applyNumberFormat="1" applyFont="1" applyFill="1" applyBorder="1" applyAlignment="1" applyProtection="1">
      <alignment horizontal="center" vertical="center"/>
      <protection locked="0"/>
    </xf>
    <xf numFmtId="165" fontId="5" fillId="3" borderId="5" xfId="0" applyNumberFormat="1" applyFont="1" applyFill="1" applyBorder="1" applyAlignment="1" applyProtection="1">
      <alignment horizontal="center" vertical="center"/>
      <protection locked="0"/>
    </xf>
    <xf numFmtId="0" fontId="5" fillId="3" borderId="5" xfId="0" applyNumberFormat="1" applyFont="1" applyFill="1" applyBorder="1" applyAlignment="1" applyProtection="1">
      <alignment horizontal="center" wrapText="1"/>
      <protection locked="0"/>
    </xf>
    <xf numFmtId="1" fontId="5" fillId="3" borderId="5" xfId="0" applyNumberFormat="1" applyFont="1" applyFill="1" applyBorder="1" applyAlignment="1" applyProtection="1">
      <alignment horizontal="center"/>
      <protection locked="0"/>
    </xf>
    <xf numFmtId="1" fontId="5" fillId="3" borderId="12" xfId="0" applyNumberFormat="1" applyFont="1" applyFill="1" applyBorder="1" applyAlignment="1" applyProtection="1">
      <alignment horizontal="center"/>
      <protection locked="0"/>
    </xf>
    <xf numFmtId="4" fontId="25" fillId="4" borderId="5" xfId="0" applyNumberFormat="1" applyFont="1" applyFill="1" applyBorder="1" applyAlignment="1" applyProtection="1">
      <alignment horizontal="center"/>
      <protection/>
    </xf>
    <xf numFmtId="167" fontId="25" fillId="3" borderId="5" xfId="0" applyNumberFormat="1" applyFont="1" applyFill="1" applyBorder="1" applyAlignment="1" applyProtection="1">
      <alignment horizontal="center"/>
      <protection locked="0"/>
    </xf>
    <xf numFmtId="3" fontId="0" fillId="0" borderId="0" xfId="0" applyNumberFormat="1" applyFont="1" applyFill="1" applyAlignment="1">
      <alignment/>
    </xf>
    <xf numFmtId="172" fontId="0" fillId="0" borderId="6" xfId="0" applyNumberFormat="1" applyFont="1" applyFill="1" applyBorder="1" applyAlignment="1">
      <alignment horizontal="center"/>
    </xf>
    <xf numFmtId="172" fontId="0" fillId="0" borderId="7" xfId="0" applyNumberFormat="1" applyFont="1" applyFill="1" applyBorder="1" applyAlignment="1">
      <alignment horizontal="center"/>
    </xf>
    <xf numFmtId="3" fontId="0" fillId="0" borderId="35" xfId="0" applyNumberFormat="1" applyFont="1" applyFill="1" applyBorder="1" applyAlignment="1">
      <alignment horizontal="center"/>
    </xf>
    <xf numFmtId="3" fontId="0" fillId="0" borderId="36" xfId="0" applyNumberFormat="1" applyFont="1" applyFill="1" applyBorder="1" applyAlignment="1">
      <alignment horizontal="center"/>
    </xf>
    <xf numFmtId="167" fontId="0" fillId="0" borderId="0" xfId="0" applyNumberFormat="1" applyFont="1" applyFill="1" applyAlignment="1">
      <alignment horizontal="center"/>
    </xf>
    <xf numFmtId="3" fontId="0" fillId="0" borderId="13" xfId="0" applyNumberFormat="1" applyFont="1" applyFill="1" applyBorder="1" applyAlignment="1">
      <alignment/>
    </xf>
    <xf numFmtId="3" fontId="0" fillId="0" borderId="4" xfId="0" applyNumberFormat="1" applyFont="1" applyFill="1" applyBorder="1" applyAlignment="1">
      <alignment/>
    </xf>
    <xf numFmtId="3" fontId="0" fillId="2" borderId="37" xfId="0" applyNumberFormat="1" applyFont="1" applyFill="1" applyBorder="1" applyAlignment="1">
      <alignment horizontal="center"/>
    </xf>
    <xf numFmtId="3" fontId="0" fillId="2" borderId="37" xfId="0" applyNumberFormat="1" applyFont="1" applyFill="1" applyBorder="1" applyAlignment="1">
      <alignment/>
    </xf>
    <xf numFmtId="3" fontId="0" fillId="2" borderId="38" xfId="0" applyNumberFormat="1" applyFont="1" applyFill="1" applyBorder="1" applyAlignment="1">
      <alignment/>
    </xf>
    <xf numFmtId="3" fontId="0" fillId="2" borderId="28" xfId="0" applyNumberFormat="1" applyFont="1" applyFill="1" applyBorder="1" applyAlignment="1">
      <alignment/>
    </xf>
    <xf numFmtId="3" fontId="0" fillId="2" borderId="39" xfId="0" applyNumberFormat="1" applyFont="1" applyFill="1" applyBorder="1" applyAlignment="1">
      <alignment/>
    </xf>
    <xf numFmtId="3" fontId="0" fillId="2" borderId="40" xfId="0" applyNumberFormat="1" applyFont="1" applyFill="1" applyBorder="1" applyAlignment="1">
      <alignment/>
    </xf>
    <xf numFmtId="0" fontId="1" fillId="0" borderId="0" xfId="0" applyFont="1" applyAlignment="1">
      <alignment horizontal="left"/>
    </xf>
    <xf numFmtId="4" fontId="0" fillId="0" borderId="0" xfId="0" applyNumberFormat="1" applyFont="1" applyFill="1" applyAlignment="1">
      <alignment/>
    </xf>
    <xf numFmtId="0" fontId="25" fillId="0" borderId="0" xfId="0" applyFont="1" applyAlignment="1">
      <alignment horizontal="left"/>
    </xf>
    <xf numFmtId="0" fontId="1" fillId="0" borderId="18" xfId="0" applyFont="1" applyBorder="1" applyAlignment="1">
      <alignment horizontal="left" wrapText="1"/>
    </xf>
    <xf numFmtId="0" fontId="1" fillId="0" borderId="18" xfId="0" applyFont="1" applyFill="1" applyBorder="1" applyAlignment="1">
      <alignment horizontal="left"/>
    </xf>
    <xf numFmtId="0" fontId="1" fillId="0" borderId="41" xfId="0" applyFont="1" applyFill="1" applyBorder="1" applyAlignment="1">
      <alignment horizontal="left"/>
    </xf>
    <xf numFmtId="0" fontId="1" fillId="0" borderId="42" xfId="0" applyFont="1" applyFill="1" applyBorder="1" applyAlignment="1">
      <alignment horizontal="left"/>
    </xf>
    <xf numFmtId="0" fontId="1" fillId="0" borderId="0" xfId="0" applyFont="1" applyFill="1" applyAlignment="1">
      <alignment horizontal="left"/>
    </xf>
    <xf numFmtId="0" fontId="1" fillId="0" borderId="16" xfId="0" applyFont="1" applyBorder="1" applyAlignment="1">
      <alignment horizontal="left" wrapText="1"/>
    </xf>
    <xf numFmtId="0" fontId="0" fillId="0" borderId="0" xfId="0" applyFont="1" applyAlignment="1">
      <alignment horizontal="left"/>
    </xf>
    <xf numFmtId="0" fontId="1" fillId="0" borderId="43" xfId="0" applyFont="1" applyFill="1" applyBorder="1" applyAlignment="1">
      <alignment horizontal="left" wrapText="1"/>
    </xf>
    <xf numFmtId="0" fontId="1" fillId="0" borderId="25" xfId="0" applyFont="1" applyFill="1" applyBorder="1" applyAlignment="1">
      <alignment horizontal="left" wrapText="1"/>
    </xf>
    <xf numFmtId="0" fontId="1" fillId="0" borderId="16" xfId="0" applyFont="1" applyFill="1" applyBorder="1" applyAlignment="1">
      <alignment horizontal="left"/>
    </xf>
    <xf numFmtId="3" fontId="19" fillId="0" borderId="0" xfId="0" applyNumberFormat="1" applyFont="1" applyFill="1" applyBorder="1" applyAlignment="1">
      <alignment horizontal="left"/>
    </xf>
    <xf numFmtId="39" fontId="0" fillId="0" borderId="0" xfId="0" applyNumberFormat="1" applyFont="1" applyFill="1" applyAlignment="1">
      <alignment horizontal="left"/>
    </xf>
    <xf numFmtId="0" fontId="8" fillId="0" borderId="2" xfId="0" applyFont="1" applyBorder="1" applyAlignment="1">
      <alignment horizontal="left"/>
    </xf>
    <xf numFmtId="0" fontId="1" fillId="0" borderId="18" xfId="0" applyFont="1" applyBorder="1" applyAlignment="1">
      <alignment horizontal="left"/>
    </xf>
    <xf numFmtId="3" fontId="7" fillId="0" borderId="0" xfId="0" applyNumberFormat="1" applyFont="1" applyFill="1" applyAlignment="1">
      <alignment horizontal="left"/>
    </xf>
    <xf numFmtId="0" fontId="1" fillId="0" borderId="43" xfId="0" applyFont="1" applyFill="1" applyBorder="1" applyAlignment="1">
      <alignment horizontal="left"/>
    </xf>
    <xf numFmtId="0" fontId="1" fillId="0" borderId="25" xfId="0" applyFont="1" applyFill="1" applyBorder="1" applyAlignment="1">
      <alignment horizontal="left"/>
    </xf>
    <xf numFmtId="3" fontId="0" fillId="0" borderId="0" xfId="0" applyNumberFormat="1" applyFont="1" applyFill="1" applyAlignment="1">
      <alignment horizontal="left"/>
    </xf>
    <xf numFmtId="0" fontId="2" fillId="0" borderId="0" xfId="0" applyFont="1" applyFill="1" applyAlignment="1">
      <alignment horizontal="left"/>
    </xf>
    <xf numFmtId="0" fontId="1" fillId="0" borderId="44" xfId="0" applyFont="1" applyFill="1" applyBorder="1" applyAlignment="1">
      <alignment horizontal="left" wrapText="1"/>
    </xf>
    <xf numFmtId="3" fontId="8" fillId="0" borderId="30" xfId="0" applyNumberFormat="1" applyFont="1" applyFill="1" applyBorder="1" applyAlignment="1">
      <alignment horizontal="left"/>
    </xf>
    <xf numFmtId="0" fontId="1" fillId="0" borderId="30" xfId="0" applyFont="1" applyFill="1" applyBorder="1" applyAlignment="1">
      <alignment horizontal="left"/>
    </xf>
    <xf numFmtId="0" fontId="1" fillId="0" borderId="45" xfId="0" applyFont="1" applyFill="1" applyBorder="1" applyAlignment="1">
      <alignment horizontal="left"/>
    </xf>
    <xf numFmtId="3" fontId="8" fillId="0" borderId="44" xfId="0" applyNumberFormat="1" applyFont="1" applyFill="1" applyBorder="1" applyAlignment="1">
      <alignment horizontal="left" wrapText="1"/>
    </xf>
    <xf numFmtId="3" fontId="1" fillId="0" borderId="30" xfId="0" applyNumberFormat="1" applyFont="1" applyFill="1" applyBorder="1" applyAlignment="1">
      <alignment horizontal="left" wrapText="1"/>
    </xf>
    <xf numFmtId="0" fontId="8" fillId="0" borderId="44" xfId="0" applyFont="1" applyFill="1" applyBorder="1" applyAlignment="1">
      <alignment horizontal="left"/>
    </xf>
    <xf numFmtId="3" fontId="0" fillId="0" borderId="7" xfId="0" applyNumberFormat="1" applyBorder="1" applyAlignment="1">
      <alignment horizontal="center"/>
    </xf>
    <xf numFmtId="3" fontId="0" fillId="4" borderId="0" xfId="0" applyNumberFormat="1" applyFont="1" applyFill="1" applyBorder="1" applyAlignment="1" applyProtection="1">
      <alignment horizontal="center"/>
      <protection/>
    </xf>
    <xf numFmtId="0" fontId="0" fillId="0" borderId="0" xfId="0" applyAlignment="1">
      <alignment horizontal="center"/>
    </xf>
    <xf numFmtId="0" fontId="0" fillId="0" borderId="46" xfId="0" applyFont="1" applyFill="1" applyBorder="1" applyAlignment="1">
      <alignment horizontal="left" wrapText="1"/>
    </xf>
    <xf numFmtId="0" fontId="1" fillId="0" borderId="47" xfId="0" applyFont="1" applyFill="1" applyBorder="1" applyAlignment="1">
      <alignment horizontal="left"/>
    </xf>
    <xf numFmtId="3" fontId="0" fillId="0" borderId="6" xfId="0" applyNumberFormat="1" applyFont="1" applyBorder="1" applyAlignment="1">
      <alignment horizontal="center"/>
    </xf>
    <xf numFmtId="0" fontId="1" fillId="0" borderId="33" xfId="0" applyFont="1" applyBorder="1" applyAlignment="1">
      <alignment horizontal="left"/>
    </xf>
    <xf numFmtId="3" fontId="1" fillId="0" borderId="11" xfId="0" applyNumberFormat="1" applyFont="1" applyFill="1" applyBorder="1" applyAlignment="1">
      <alignment horizontal="center" wrapText="1"/>
    </xf>
    <xf numFmtId="0" fontId="26" fillId="0" borderId="0" xfId="0" applyFont="1" applyFill="1" applyAlignment="1">
      <alignment horizontal="center" vertical="center"/>
    </xf>
    <xf numFmtId="0" fontId="8" fillId="0" borderId="0" xfId="0" applyFont="1" applyFill="1" applyAlignment="1">
      <alignment horizontal="center" vertical="center"/>
    </xf>
    <xf numFmtId="4" fontId="0" fillId="0" borderId="6" xfId="0" applyNumberFormat="1" applyFont="1" applyFill="1" applyBorder="1" applyAlignment="1">
      <alignment horizontal="center"/>
    </xf>
    <xf numFmtId="4" fontId="0" fillId="0" borderId="5" xfId="0" applyNumberFormat="1" applyFont="1" applyBorder="1" applyAlignment="1">
      <alignment horizontal="center"/>
    </xf>
    <xf numFmtId="0" fontId="1" fillId="2" borderId="48" xfId="0" applyFont="1" applyFill="1" applyBorder="1" applyAlignment="1">
      <alignment/>
    </xf>
    <xf numFmtId="0" fontId="1" fillId="2" borderId="49" xfId="0" applyFont="1" applyFill="1" applyBorder="1" applyAlignment="1">
      <alignment/>
    </xf>
    <xf numFmtId="10" fontId="1" fillId="2" borderId="50" xfId="0" applyNumberFormat="1" applyFont="1" applyFill="1" applyBorder="1" applyAlignment="1">
      <alignment horizontal="center"/>
    </xf>
    <xf numFmtId="10" fontId="0" fillId="2" borderId="36" xfId="0" applyNumberFormat="1" applyFont="1" applyFill="1" applyBorder="1" applyAlignment="1">
      <alignment horizontal="center"/>
    </xf>
    <xf numFmtId="3" fontId="0" fillId="2" borderId="51" xfId="0" applyNumberFormat="1" applyFont="1" applyFill="1" applyBorder="1" applyAlignment="1">
      <alignment horizontal="center"/>
    </xf>
    <xf numFmtId="3" fontId="1" fillId="2" borderId="0" xfId="0" applyNumberFormat="1" applyFont="1" applyFill="1" applyBorder="1" applyAlignment="1">
      <alignment/>
    </xf>
    <xf numFmtId="3" fontId="0" fillId="2" borderId="0" xfId="0" applyNumberFormat="1" applyFont="1" applyFill="1" applyBorder="1" applyAlignment="1">
      <alignment/>
    </xf>
    <xf numFmtId="3" fontId="0" fillId="2" borderId="52" xfId="0" applyNumberFormat="1" applyFont="1" applyFill="1" applyBorder="1" applyAlignment="1">
      <alignment/>
    </xf>
    <xf numFmtId="3" fontId="0" fillId="2" borderId="53" xfId="0" applyNumberFormat="1" applyFont="1" applyFill="1" applyBorder="1" applyAlignment="1">
      <alignment horizontal="center"/>
    </xf>
    <xf numFmtId="3" fontId="1" fillId="2" borderId="21" xfId="0" applyNumberFormat="1" applyFont="1" applyFill="1" applyBorder="1" applyAlignment="1">
      <alignment/>
    </xf>
    <xf numFmtId="0" fontId="0" fillId="2" borderId="51" xfId="0" applyFont="1" applyFill="1" applyBorder="1" applyAlignment="1">
      <alignment/>
    </xf>
    <xf numFmtId="0" fontId="0" fillId="2" borderId="21" xfId="0" applyFont="1" applyFill="1" applyBorder="1" applyAlignment="1">
      <alignment/>
    </xf>
    <xf numFmtId="0" fontId="1" fillId="2" borderId="0" xfId="0" applyFont="1" applyFill="1" applyBorder="1" applyAlignment="1">
      <alignment horizontal="center" wrapText="1"/>
    </xf>
    <xf numFmtId="0" fontId="1" fillId="2" borderId="52" xfId="0" applyFont="1" applyFill="1" applyBorder="1" applyAlignment="1">
      <alignment horizontal="center" wrapText="1"/>
    </xf>
    <xf numFmtId="0" fontId="8" fillId="0" borderId="30" xfId="0" applyFont="1" applyBorder="1" applyAlignment="1">
      <alignment horizontal="left"/>
    </xf>
    <xf numFmtId="3" fontId="1" fillId="0" borderId="14" xfId="0" applyNumberFormat="1" applyFont="1" applyFill="1" applyBorder="1" applyAlignment="1">
      <alignment horizontal="center" wrapText="1"/>
    </xf>
    <xf numFmtId="3" fontId="1" fillId="0" borderId="35" xfId="0" applyNumberFormat="1" applyFont="1" applyFill="1" applyBorder="1" applyAlignment="1">
      <alignment horizontal="center" wrapText="1"/>
    </xf>
    <xf numFmtId="2" fontId="0" fillId="0" borderId="13" xfId="0" applyNumberFormat="1" applyFont="1" applyBorder="1" applyAlignment="1">
      <alignment horizontal="center"/>
    </xf>
    <xf numFmtId="3" fontId="0" fillId="0" borderId="17" xfId="0" applyNumberFormat="1" applyFont="1" applyBorder="1" applyAlignment="1">
      <alignment horizontal="center"/>
    </xf>
    <xf numFmtId="0" fontId="8" fillId="0" borderId="44" xfId="0" applyFont="1" applyBorder="1" applyAlignment="1">
      <alignment horizontal="left"/>
    </xf>
    <xf numFmtId="0" fontId="1" fillId="0" borderId="54" xfId="0" applyFont="1" applyFill="1" applyBorder="1" applyAlignment="1">
      <alignment horizontal="left"/>
    </xf>
    <xf numFmtId="2" fontId="1" fillId="0" borderId="55" xfId="0" applyNumberFormat="1" applyFont="1" applyFill="1" applyBorder="1" applyAlignment="1">
      <alignment horizontal="center"/>
    </xf>
    <xf numFmtId="169" fontId="0" fillId="0" borderId="55" xfId="0" applyNumberFormat="1" applyFont="1" applyFill="1" applyBorder="1" applyAlignment="1">
      <alignment horizontal="center"/>
    </xf>
    <xf numFmtId="4" fontId="0" fillId="0" borderId="56" xfId="0" applyNumberFormat="1" applyFont="1" applyFill="1" applyBorder="1" applyAlignment="1">
      <alignment horizontal="center"/>
    </xf>
    <xf numFmtId="4" fontId="0" fillId="2" borderId="19" xfId="0" applyNumberFormat="1" applyFont="1" applyFill="1" applyBorder="1" applyAlignment="1">
      <alignment horizontal="center"/>
    </xf>
    <xf numFmtId="1" fontId="0" fillId="2" borderId="25" xfId="0" applyNumberFormat="1" applyFont="1" applyFill="1" applyBorder="1" applyAlignment="1">
      <alignment/>
    </xf>
    <xf numFmtId="0" fontId="1" fillId="2" borderId="52" xfId="0" applyFont="1" applyFill="1" applyBorder="1" applyAlignment="1">
      <alignment horizontal="center"/>
    </xf>
    <xf numFmtId="3" fontId="1" fillId="2" borderId="25" xfId="0" applyNumberFormat="1" applyFont="1" applyFill="1" applyBorder="1" applyAlignment="1">
      <alignment horizontal="center"/>
    </xf>
    <xf numFmtId="3" fontId="0" fillId="2" borderId="25" xfId="0" applyNumberFormat="1" applyFont="1" applyFill="1" applyBorder="1" applyAlignment="1">
      <alignment horizontal="center"/>
    </xf>
    <xf numFmtId="3" fontId="0" fillId="2" borderId="52" xfId="0" applyNumberFormat="1" applyFont="1" applyFill="1" applyBorder="1" applyAlignment="1">
      <alignment horizontal="center"/>
    </xf>
    <xf numFmtId="3" fontId="0" fillId="2" borderId="57" xfId="0" applyNumberFormat="1" applyFont="1" applyFill="1" applyBorder="1" applyAlignment="1">
      <alignment horizontal="center"/>
    </xf>
    <xf numFmtId="3" fontId="0" fillId="2" borderId="58" xfId="0" applyNumberFormat="1" applyFont="1" applyFill="1" applyBorder="1" applyAlignment="1">
      <alignment horizontal="center"/>
    </xf>
    <xf numFmtId="0" fontId="0" fillId="2" borderId="50" xfId="0" applyFont="1" applyFill="1" applyBorder="1" applyAlignment="1">
      <alignment horizontal="center"/>
    </xf>
    <xf numFmtId="0" fontId="1" fillId="2" borderId="31" xfId="0" applyFont="1" applyFill="1" applyBorder="1" applyAlignment="1">
      <alignment horizontal="center"/>
    </xf>
    <xf numFmtId="3" fontId="0" fillId="2" borderId="33" xfId="0" applyNumberFormat="1" applyFont="1" applyFill="1" applyBorder="1" applyAlignment="1">
      <alignment horizontal="center"/>
    </xf>
    <xf numFmtId="167" fontId="0" fillId="2" borderId="30" xfId="0" applyNumberFormat="1" applyFont="1" applyFill="1" applyBorder="1" applyAlignment="1">
      <alignment horizontal="center"/>
    </xf>
    <xf numFmtId="169" fontId="0" fillId="2" borderId="15" xfId="0" applyNumberFormat="1" applyFont="1" applyFill="1" applyBorder="1" applyAlignment="1">
      <alignment horizontal="center"/>
    </xf>
    <xf numFmtId="0" fontId="1" fillId="2" borderId="25" xfId="0" applyFont="1" applyFill="1" applyBorder="1" applyAlignment="1">
      <alignment/>
    </xf>
    <xf numFmtId="3" fontId="0" fillId="2" borderId="25" xfId="0" applyNumberFormat="1" applyFont="1" applyFill="1" applyBorder="1" applyAlignment="1">
      <alignment/>
    </xf>
    <xf numFmtId="3" fontId="0" fillId="2" borderId="57" xfId="0" applyNumberFormat="1" applyFont="1" applyFill="1" applyBorder="1" applyAlignment="1">
      <alignment/>
    </xf>
    <xf numFmtId="0" fontId="1" fillId="2" borderId="58" xfId="0" applyFont="1" applyFill="1" applyBorder="1" applyAlignment="1">
      <alignment horizontal="center"/>
    </xf>
    <xf numFmtId="0" fontId="5" fillId="0" borderId="18" xfId="0" applyFont="1" applyFill="1" applyBorder="1" applyAlignment="1">
      <alignment horizontal="center" vertical="center"/>
    </xf>
    <xf numFmtId="0" fontId="5" fillId="0" borderId="6" xfId="0" applyFont="1" applyFill="1" applyBorder="1" applyAlignment="1">
      <alignment horizontal="center" vertical="center" wrapText="1"/>
    </xf>
    <xf numFmtId="0" fontId="25" fillId="0" borderId="18" xfId="0" applyFont="1" applyFill="1" applyBorder="1" applyAlignment="1">
      <alignment horizontal="center" vertical="center"/>
    </xf>
    <xf numFmtId="0" fontId="25" fillId="0" borderId="16" xfId="0" applyFont="1" applyFill="1" applyBorder="1" applyAlignment="1">
      <alignment horizontal="center" vertical="center"/>
    </xf>
    <xf numFmtId="3" fontId="25" fillId="3" borderId="5" xfId="0" applyNumberFormat="1" applyFont="1" applyFill="1" applyBorder="1" applyAlignment="1" applyProtection="1">
      <alignment horizontal="center" vertical="center"/>
      <protection locked="0"/>
    </xf>
    <xf numFmtId="194" fontId="25" fillId="0" borderId="0" xfId="0" applyNumberFormat="1" applyFont="1" applyFill="1" applyAlignment="1">
      <alignment horizontal="left"/>
    </xf>
    <xf numFmtId="3" fontId="5" fillId="4" borderId="5" xfId="0" applyNumberFormat="1" applyFont="1" applyFill="1" applyBorder="1" applyAlignment="1" applyProtection="1">
      <alignment horizontal="center" vertical="center"/>
      <protection/>
    </xf>
    <xf numFmtId="0" fontId="5" fillId="0" borderId="1" xfId="0" applyFont="1" applyFill="1" applyBorder="1" applyAlignment="1">
      <alignment horizontal="center" wrapText="1"/>
    </xf>
    <xf numFmtId="0" fontId="25" fillId="0" borderId="0" xfId="0" applyFont="1" applyAlignment="1">
      <alignment horizontal="center"/>
    </xf>
    <xf numFmtId="0" fontId="5" fillId="0" borderId="2" xfId="0" applyFont="1" applyFill="1" applyBorder="1" applyAlignment="1">
      <alignment/>
    </xf>
    <xf numFmtId="0" fontId="5" fillId="0" borderId="1" xfId="0" applyFont="1" applyFill="1" applyBorder="1" applyAlignment="1">
      <alignment horizontal="center"/>
    </xf>
    <xf numFmtId="0" fontId="25" fillId="0" borderId="18" xfId="0" applyFont="1" applyBorder="1" applyAlignment="1">
      <alignment/>
    </xf>
    <xf numFmtId="3" fontId="25" fillId="0" borderId="6" xfId="0" applyNumberFormat="1" applyFont="1" applyBorder="1" applyAlignment="1">
      <alignment horizontal="center"/>
    </xf>
    <xf numFmtId="0" fontId="5" fillId="0" borderId="16" xfId="0" applyFont="1" applyBorder="1" applyAlignment="1">
      <alignment/>
    </xf>
    <xf numFmtId="3" fontId="5" fillId="0" borderId="7" xfId="0" applyNumberFormat="1" applyFont="1" applyBorder="1" applyAlignment="1">
      <alignment horizontal="center"/>
    </xf>
    <xf numFmtId="0" fontId="5" fillId="0" borderId="0" xfId="0" applyFont="1" applyBorder="1" applyAlignment="1">
      <alignment/>
    </xf>
    <xf numFmtId="3" fontId="5" fillId="0" borderId="0" xfId="0" applyNumberFormat="1" applyFont="1" applyBorder="1" applyAlignment="1">
      <alignment horizontal="center"/>
    </xf>
    <xf numFmtId="0" fontId="5" fillId="0" borderId="2" xfId="0" applyFont="1" applyBorder="1" applyAlignment="1">
      <alignment/>
    </xf>
    <xf numFmtId="3" fontId="5" fillId="0" borderId="1" xfId="0" applyNumberFormat="1" applyFont="1" applyBorder="1" applyAlignment="1">
      <alignment horizontal="center"/>
    </xf>
    <xf numFmtId="0" fontId="25" fillId="0" borderId="6" xfId="0" applyFont="1" applyBorder="1" applyAlignment="1">
      <alignment horizontal="center"/>
    </xf>
    <xf numFmtId="0" fontId="25" fillId="0" borderId="16" xfId="0" applyFont="1" applyBorder="1" applyAlignment="1">
      <alignment/>
    </xf>
    <xf numFmtId="0" fontId="25" fillId="0" borderId="7" xfId="0" applyFont="1" applyBorder="1" applyAlignment="1">
      <alignment horizontal="center"/>
    </xf>
    <xf numFmtId="0" fontId="5" fillId="0" borderId="44" xfId="0" applyFont="1" applyFill="1" applyBorder="1" applyAlignment="1">
      <alignment/>
    </xf>
    <xf numFmtId="0" fontId="25" fillId="0" borderId="18" xfId="0" applyFont="1" applyFill="1" applyBorder="1" applyAlignment="1">
      <alignment/>
    </xf>
    <xf numFmtId="0" fontId="5" fillId="0" borderId="16" xfId="0" applyFont="1" applyFill="1" applyBorder="1" applyAlignment="1">
      <alignment/>
    </xf>
    <xf numFmtId="3" fontId="5" fillId="0" borderId="7" xfId="0" applyNumberFormat="1" applyFont="1" applyFill="1" applyBorder="1" applyAlignment="1">
      <alignment horizontal="center"/>
    </xf>
    <xf numFmtId="0" fontId="5" fillId="0" borderId="0" xfId="0" applyFont="1" applyFill="1" applyBorder="1" applyAlignment="1">
      <alignment/>
    </xf>
    <xf numFmtId="3" fontId="5" fillId="0" borderId="0" xfId="0" applyNumberFormat="1" applyFont="1" applyFill="1" applyBorder="1" applyAlignment="1">
      <alignment horizontal="center"/>
    </xf>
    <xf numFmtId="0" fontId="25" fillId="0" borderId="16" xfId="0" applyFont="1" applyFill="1" applyBorder="1" applyAlignment="1">
      <alignment/>
    </xf>
    <xf numFmtId="0" fontId="5" fillId="0" borderId="2" xfId="0" applyFont="1" applyBorder="1" applyAlignment="1">
      <alignment horizontal="left" wrapText="1"/>
    </xf>
    <xf numFmtId="0" fontId="5" fillId="0" borderId="1" xfId="0" applyFont="1" applyBorder="1" applyAlignment="1">
      <alignment horizontal="center"/>
    </xf>
    <xf numFmtId="3" fontId="25" fillId="0" borderId="7" xfId="0" applyNumberFormat="1" applyFont="1" applyBorder="1" applyAlignment="1">
      <alignment horizontal="center"/>
    </xf>
    <xf numFmtId="0" fontId="25" fillId="0" borderId="0" xfId="0" applyFont="1" applyBorder="1" applyAlignment="1">
      <alignment/>
    </xf>
    <xf numFmtId="3" fontId="25" fillId="0" borderId="0" xfId="0" applyNumberFormat="1" applyFont="1" applyBorder="1" applyAlignment="1">
      <alignment horizontal="center"/>
    </xf>
    <xf numFmtId="0" fontId="0" fillId="0" borderId="0" xfId="0" applyAlignment="1" applyProtection="1">
      <alignment/>
      <protection/>
    </xf>
    <xf numFmtId="0" fontId="25" fillId="0" borderId="0" xfId="0" applyFont="1" applyAlignment="1" applyProtection="1">
      <alignment/>
      <protection/>
    </xf>
    <xf numFmtId="3" fontId="0" fillId="0" borderId="0" xfId="0" applyNumberFormat="1" applyAlignment="1" applyProtection="1">
      <alignment horizontal="center"/>
      <protection/>
    </xf>
    <xf numFmtId="0" fontId="1" fillId="0" borderId="0" xfId="0" applyFont="1" applyAlignment="1" applyProtection="1">
      <alignment/>
      <protection/>
    </xf>
    <xf numFmtId="3" fontId="1" fillId="0" borderId="0" xfId="0" applyNumberFormat="1" applyFont="1" applyFill="1" applyAlignment="1" applyProtection="1">
      <alignment horizontal="center" vertical="center"/>
      <protection/>
    </xf>
    <xf numFmtId="0" fontId="0" fillId="0" borderId="0" xfId="0" applyFill="1" applyAlignment="1" applyProtection="1">
      <alignment/>
      <protection/>
    </xf>
    <xf numFmtId="0" fontId="5" fillId="0" borderId="0" xfId="0" applyFont="1" applyAlignment="1" applyProtection="1">
      <alignment/>
      <protection/>
    </xf>
    <xf numFmtId="3" fontId="1" fillId="0" borderId="0" xfId="0" applyNumberFormat="1" applyFont="1" applyAlignment="1" applyProtection="1">
      <alignment horizontal="center" vertical="center"/>
      <protection/>
    </xf>
    <xf numFmtId="0" fontId="2" fillId="0" borderId="0" xfId="0" applyFont="1" applyAlignment="1" applyProtection="1">
      <alignment/>
      <protection/>
    </xf>
    <xf numFmtId="0" fontId="31" fillId="0" borderId="0" xfId="0" applyFont="1" applyFill="1" applyAlignment="1" applyProtection="1">
      <alignment/>
      <protection/>
    </xf>
    <xf numFmtId="3" fontId="25" fillId="0" borderId="0" xfId="0" applyNumberFormat="1" applyFont="1" applyAlignment="1" applyProtection="1">
      <alignment horizontal="center"/>
      <protection/>
    </xf>
    <xf numFmtId="0" fontId="7" fillId="0" borderId="0" xfId="0" applyFont="1" applyFill="1" applyAlignment="1" applyProtection="1">
      <alignment/>
      <protection/>
    </xf>
    <xf numFmtId="0" fontId="5" fillId="0" borderId="0" xfId="0" applyFont="1" applyFill="1" applyAlignment="1" applyProtection="1">
      <alignment/>
      <protection/>
    </xf>
    <xf numFmtId="0" fontId="31" fillId="0" borderId="0" xfId="0" applyFont="1" applyAlignment="1" applyProtection="1">
      <alignment/>
      <protection/>
    </xf>
    <xf numFmtId="0" fontId="26" fillId="0" borderId="0" xfId="0" applyFont="1" applyFill="1" applyBorder="1" applyAlignment="1" applyProtection="1">
      <alignment vertical="center"/>
      <protection/>
    </xf>
    <xf numFmtId="3" fontId="5" fillId="0" borderId="0" xfId="0" applyNumberFormat="1" applyFont="1" applyAlignment="1" applyProtection="1">
      <alignment horizontal="center" vertical="center"/>
      <protection/>
    </xf>
    <xf numFmtId="0" fontId="42" fillId="0" borderId="0" xfId="0" applyFont="1" applyAlignment="1" applyProtection="1">
      <alignment vertical="center"/>
      <protection/>
    </xf>
    <xf numFmtId="0" fontId="0" fillId="0" borderId="0" xfId="0" applyFont="1" applyAlignment="1" applyProtection="1">
      <alignment/>
      <protection/>
    </xf>
    <xf numFmtId="0" fontId="5" fillId="0" borderId="0" xfId="0" applyFont="1" applyFill="1" applyBorder="1" applyAlignment="1" applyProtection="1">
      <alignment vertical="center"/>
      <protection/>
    </xf>
    <xf numFmtId="0" fontId="42" fillId="0" borderId="0" xfId="0" applyFont="1" applyAlignment="1" applyProtection="1">
      <alignment/>
      <protection/>
    </xf>
    <xf numFmtId="0" fontId="41" fillId="0" borderId="0" xfId="0" applyFont="1" applyFill="1" applyAlignment="1" applyProtection="1">
      <alignment vertical="center"/>
      <protection/>
    </xf>
    <xf numFmtId="0" fontId="42" fillId="0" borderId="0" xfId="0" applyFont="1" applyFill="1" applyAlignment="1" applyProtection="1">
      <alignment vertical="center"/>
      <protection/>
    </xf>
    <xf numFmtId="0" fontId="42" fillId="0" borderId="0" xfId="0" applyFont="1" applyFill="1" applyAlignment="1" applyProtection="1">
      <alignment/>
      <protection/>
    </xf>
    <xf numFmtId="0" fontId="25" fillId="0" borderId="0" xfId="0" applyFont="1" applyFill="1" applyAlignment="1" applyProtection="1">
      <alignment/>
      <protection/>
    </xf>
    <xf numFmtId="0" fontId="44" fillId="0" borderId="0" xfId="0" applyFont="1" applyFill="1" applyAlignment="1" applyProtection="1">
      <alignment vertical="center"/>
      <protection/>
    </xf>
    <xf numFmtId="0" fontId="44" fillId="0" borderId="0" xfId="0" applyFont="1" applyFill="1" applyAlignment="1" applyProtection="1">
      <alignment/>
      <protection/>
    </xf>
    <xf numFmtId="0" fontId="0" fillId="0" borderId="0" xfId="0" applyFont="1" applyFill="1" applyAlignment="1" applyProtection="1">
      <alignment/>
      <protection/>
    </xf>
    <xf numFmtId="0" fontId="42" fillId="0" borderId="0" xfId="0" applyFont="1" applyAlignment="1" applyProtection="1">
      <alignment/>
      <protection/>
    </xf>
    <xf numFmtId="0" fontId="42" fillId="0" borderId="0" xfId="0" applyFont="1" applyAlignment="1" applyProtection="1">
      <alignment wrapText="1"/>
      <protection/>
    </xf>
    <xf numFmtId="0" fontId="42" fillId="0" borderId="0" xfId="0" applyFont="1" applyFill="1" applyAlignment="1" applyProtection="1">
      <alignment/>
      <protection/>
    </xf>
    <xf numFmtId="0" fontId="1" fillId="0" borderId="0" xfId="0" applyFont="1" applyFill="1" applyBorder="1" applyAlignment="1" applyProtection="1">
      <alignment/>
      <protection/>
    </xf>
    <xf numFmtId="3" fontId="0" fillId="4" borderId="0" xfId="0" applyNumberFormat="1" applyFill="1" applyBorder="1" applyAlignment="1" applyProtection="1">
      <alignment horizontal="center" vertical="center"/>
      <protection/>
    </xf>
    <xf numFmtId="3" fontId="5" fillId="0" borderId="0" xfId="0" applyNumberFormat="1" applyFont="1" applyAlignment="1" applyProtection="1">
      <alignment horizontal="center" vertical="center" wrapText="1"/>
      <protection/>
    </xf>
    <xf numFmtId="0" fontId="0" fillId="0" borderId="0" xfId="0" applyFont="1" applyAlignment="1" applyProtection="1">
      <alignment/>
      <protection/>
    </xf>
    <xf numFmtId="0" fontId="25" fillId="0" borderId="0" xfId="0" applyFont="1" applyAlignment="1" applyProtection="1">
      <alignment vertical="center"/>
      <protection/>
    </xf>
    <xf numFmtId="0" fontId="45" fillId="0" borderId="0" xfId="0" applyFont="1" applyFill="1" applyAlignment="1" applyProtection="1">
      <alignment vertical="center"/>
      <protection/>
    </xf>
    <xf numFmtId="0" fontId="5" fillId="0" borderId="0" xfId="0" applyFont="1" applyAlignment="1" applyProtection="1">
      <alignment vertical="center"/>
      <protection/>
    </xf>
    <xf numFmtId="0" fontId="5" fillId="0" borderId="0" xfId="0" applyFont="1" applyFill="1" applyBorder="1" applyAlignment="1" applyProtection="1">
      <alignment vertical="center" wrapText="1"/>
      <protection/>
    </xf>
    <xf numFmtId="3" fontId="0" fillId="0" borderId="0" xfId="0" applyNumberFormat="1" applyFill="1" applyBorder="1" applyAlignment="1" applyProtection="1">
      <alignment horizontal="center" vertical="center"/>
      <protection/>
    </xf>
    <xf numFmtId="0" fontId="3" fillId="0" borderId="0" xfId="0" applyFont="1" applyAlignment="1" applyProtection="1">
      <alignment/>
      <protection/>
    </xf>
    <xf numFmtId="0" fontId="26" fillId="0" borderId="0" xfId="0" applyFont="1" applyFill="1" applyBorder="1" applyAlignment="1" applyProtection="1">
      <alignment/>
      <protection/>
    </xf>
    <xf numFmtId="3" fontId="5" fillId="0" borderId="34" xfId="0" applyNumberFormat="1" applyFont="1" applyBorder="1" applyAlignment="1" applyProtection="1">
      <alignment horizontal="center" vertical="center" wrapText="1"/>
      <protection/>
    </xf>
    <xf numFmtId="0" fontId="45" fillId="0" borderId="0" xfId="0" applyFont="1" applyAlignment="1" applyProtection="1">
      <alignment vertical="center"/>
      <protection/>
    </xf>
    <xf numFmtId="0" fontId="41" fillId="0" borderId="0" xfId="0" applyFont="1" applyAlignment="1" applyProtection="1">
      <alignment vertical="center"/>
      <protection/>
    </xf>
    <xf numFmtId="0" fontId="42" fillId="0" borderId="0" xfId="0" applyFont="1" applyBorder="1" applyAlignment="1" applyProtection="1">
      <alignment/>
      <protection/>
    </xf>
    <xf numFmtId="0" fontId="0" fillId="0" borderId="0" xfId="0" applyFont="1" applyBorder="1" applyAlignment="1" applyProtection="1">
      <alignment/>
      <protection/>
    </xf>
    <xf numFmtId="0" fontId="45" fillId="0" borderId="0" xfId="0" applyFont="1" applyFill="1" applyAlignment="1" applyProtection="1">
      <alignment wrapText="1"/>
      <protection/>
    </xf>
    <xf numFmtId="0" fontId="0" fillId="0" borderId="0" xfId="0" applyAlignment="1" applyProtection="1">
      <alignment/>
      <protection/>
    </xf>
    <xf numFmtId="0" fontId="0" fillId="0" borderId="0" xfId="0" applyAlignment="1" applyProtection="1">
      <alignment wrapText="1"/>
      <protection/>
    </xf>
    <xf numFmtId="0" fontId="1" fillId="0" borderId="0" xfId="0" applyFont="1" applyBorder="1" applyAlignment="1" applyProtection="1">
      <alignment/>
      <protection/>
    </xf>
    <xf numFmtId="3" fontId="3" fillId="0" borderId="0" xfId="0" applyNumberFormat="1" applyFont="1" applyAlignment="1" applyProtection="1">
      <alignment horizontal="center"/>
      <protection/>
    </xf>
    <xf numFmtId="0" fontId="5" fillId="0" borderId="0" xfId="0" applyFont="1" applyFill="1" applyAlignment="1" applyProtection="1">
      <alignment horizontal="left" vertical="center"/>
      <protection/>
    </xf>
    <xf numFmtId="3" fontId="25" fillId="0" borderId="0" xfId="0" applyNumberFormat="1" applyFont="1" applyAlignment="1" applyProtection="1">
      <alignment horizontal="left" wrapText="1"/>
      <protection/>
    </xf>
    <xf numFmtId="0" fontId="25" fillId="0" borderId="0" xfId="0" applyFont="1" applyAlignment="1" applyProtection="1">
      <alignment horizontal="left" wrapText="1"/>
      <protection/>
    </xf>
    <xf numFmtId="0" fontId="5" fillId="0" borderId="0" xfId="0" applyFont="1" applyFill="1" applyBorder="1" applyAlignment="1" applyProtection="1">
      <alignment wrapText="1"/>
      <protection/>
    </xf>
    <xf numFmtId="0" fontId="25" fillId="0" borderId="34" xfId="0" applyFont="1" applyBorder="1" applyAlignment="1" applyProtection="1">
      <alignment wrapText="1"/>
      <protection/>
    </xf>
    <xf numFmtId="0" fontId="1" fillId="0" borderId="0" xfId="0" applyFont="1" applyFill="1" applyAlignment="1" applyProtection="1">
      <alignment/>
      <protection/>
    </xf>
    <xf numFmtId="0" fontId="26" fillId="0" borderId="0" xfId="0" applyFont="1" applyFill="1" applyAlignment="1" applyProtection="1">
      <alignment wrapText="1"/>
      <protection/>
    </xf>
    <xf numFmtId="3" fontId="5" fillId="0" borderId="0" xfId="0" applyNumberFormat="1" applyFont="1" applyAlignment="1" applyProtection="1">
      <alignment horizontal="center" wrapText="1"/>
      <protection/>
    </xf>
    <xf numFmtId="0" fontId="7" fillId="0" borderId="0" xfId="0" applyFont="1" applyAlignment="1" applyProtection="1">
      <alignment/>
      <protection/>
    </xf>
    <xf numFmtId="0" fontId="5" fillId="0" borderId="0" xfId="0" applyFont="1" applyFill="1" applyAlignment="1" applyProtection="1">
      <alignment wrapText="1"/>
      <protection/>
    </xf>
    <xf numFmtId="0" fontId="25" fillId="0" borderId="0" xfId="0" applyFont="1" applyAlignment="1" applyProtection="1">
      <alignment/>
      <protection/>
    </xf>
    <xf numFmtId="0" fontId="19" fillId="0" borderId="0" xfId="0" applyFont="1" applyFill="1" applyAlignment="1" applyProtection="1">
      <alignment/>
      <protection/>
    </xf>
    <xf numFmtId="4" fontId="0" fillId="0" borderId="0" xfId="0" applyNumberFormat="1" applyFill="1" applyBorder="1" applyAlignment="1" applyProtection="1">
      <alignment horizontal="center"/>
      <protection/>
    </xf>
    <xf numFmtId="0" fontId="25" fillId="0" borderId="0" xfId="0" applyFont="1" applyBorder="1" applyAlignment="1" applyProtection="1">
      <alignment wrapText="1"/>
      <protection/>
    </xf>
    <xf numFmtId="0" fontId="26" fillId="0" borderId="0" xfId="0" applyFont="1" applyFill="1" applyAlignment="1" applyProtection="1">
      <alignment/>
      <protection/>
    </xf>
    <xf numFmtId="4" fontId="0" fillId="0" borderId="0" xfId="0" applyNumberFormat="1" applyAlignment="1" applyProtection="1">
      <alignment horizontal="center"/>
      <protection/>
    </xf>
    <xf numFmtId="0" fontId="2" fillId="0" borderId="0" xfId="0" applyFont="1" applyAlignment="1" applyProtection="1">
      <alignment/>
      <protection/>
    </xf>
    <xf numFmtId="0" fontId="5" fillId="0" borderId="0" xfId="0" applyFont="1" applyFill="1" applyAlignment="1" applyProtection="1">
      <alignment horizontal="left" vertical="center" wrapText="1"/>
      <protection/>
    </xf>
    <xf numFmtId="0" fontId="1" fillId="0" borderId="0" xfId="0" applyFont="1" applyFill="1" applyAlignment="1" applyProtection="1">
      <alignment horizontal="left" vertical="center"/>
      <protection/>
    </xf>
    <xf numFmtId="3" fontId="0" fillId="0" borderId="0" xfId="0" applyNumberFormat="1" applyAlignment="1" applyProtection="1">
      <alignment horizontal="left" wrapText="1"/>
      <protection/>
    </xf>
    <xf numFmtId="0" fontId="0" fillId="0" borderId="0" xfId="0" applyAlignment="1" applyProtection="1">
      <alignment horizontal="left" wrapText="1"/>
      <protection/>
    </xf>
    <xf numFmtId="0" fontId="26" fillId="0" borderId="0" xfId="0" applyFont="1" applyAlignment="1" applyProtection="1">
      <alignment/>
      <protection/>
    </xf>
    <xf numFmtId="167" fontId="0" fillId="0" borderId="0" xfId="0" applyNumberFormat="1" applyFill="1" applyBorder="1" applyAlignment="1" applyProtection="1">
      <alignment horizontal="center"/>
      <protection/>
    </xf>
    <xf numFmtId="3" fontId="5" fillId="0" borderId="0" xfId="0" applyNumberFormat="1" applyFont="1" applyAlignment="1" applyProtection="1">
      <alignment horizontal="center"/>
      <protection/>
    </xf>
    <xf numFmtId="172" fontId="0" fillId="0" borderId="0" xfId="0" applyNumberFormat="1" applyFill="1" applyBorder="1" applyAlignment="1" applyProtection="1">
      <alignment horizontal="center"/>
      <protection/>
    </xf>
    <xf numFmtId="3" fontId="25" fillId="0" borderId="0" xfId="0" applyNumberFormat="1" applyFont="1" applyAlignment="1" applyProtection="1">
      <alignment horizontal="left" vertical="center"/>
      <protection/>
    </xf>
    <xf numFmtId="0" fontId="26" fillId="0" borderId="0" xfId="0" applyFont="1" applyAlignment="1" applyProtection="1">
      <alignment wrapText="1"/>
      <protection/>
    </xf>
    <xf numFmtId="3" fontId="25" fillId="0" borderId="0" xfId="0" applyNumberFormat="1" applyFont="1" applyAlignment="1" applyProtection="1">
      <alignment horizontal="left"/>
      <protection/>
    </xf>
    <xf numFmtId="3" fontId="0" fillId="0" borderId="0" xfId="0" applyNumberFormat="1" applyAlignment="1" applyProtection="1">
      <alignment horizontal="left"/>
      <protection/>
    </xf>
    <xf numFmtId="0" fontId="1" fillId="0" borderId="11" xfId="0" applyFont="1" applyBorder="1" applyAlignment="1">
      <alignment horizontal="center" wrapText="1"/>
    </xf>
    <xf numFmtId="1" fontId="1" fillId="0" borderId="12" xfId="0" applyNumberFormat="1" applyFont="1" applyBorder="1" applyAlignment="1">
      <alignment horizontal="center"/>
    </xf>
    <xf numFmtId="3" fontId="0" fillId="0" borderId="7" xfId="0" applyNumberFormat="1" applyFont="1" applyBorder="1" applyAlignment="1">
      <alignment horizontal="center" vertical="center" wrapText="1"/>
    </xf>
    <xf numFmtId="0" fontId="0" fillId="0" borderId="46" xfId="0" applyFont="1" applyFill="1" applyBorder="1" applyAlignment="1">
      <alignment horizontal="left"/>
    </xf>
    <xf numFmtId="0" fontId="1" fillId="0" borderId="47" xfId="0" applyFont="1" applyBorder="1" applyAlignment="1">
      <alignment horizontal="left"/>
    </xf>
    <xf numFmtId="0" fontId="2" fillId="0" borderId="0" xfId="0" applyFont="1" applyAlignment="1">
      <alignment/>
    </xf>
    <xf numFmtId="0" fontId="25" fillId="0" borderId="0" xfId="0" applyFont="1" applyFill="1" applyAlignment="1">
      <alignment wrapText="1"/>
    </xf>
    <xf numFmtId="10" fontId="1" fillId="0" borderId="3" xfId="0" applyNumberFormat="1" applyFont="1" applyFill="1" applyBorder="1" applyAlignment="1">
      <alignment horizontal="center"/>
    </xf>
    <xf numFmtId="10" fontId="1" fillId="0" borderId="9" xfId="0" applyNumberFormat="1" applyFont="1" applyFill="1" applyBorder="1" applyAlignment="1">
      <alignment horizontal="center"/>
    </xf>
    <xf numFmtId="0" fontId="1" fillId="0" borderId="25" xfId="0" applyFont="1" applyFill="1" applyBorder="1" applyAlignment="1">
      <alignment horizontal="center" wrapText="1"/>
    </xf>
    <xf numFmtId="0" fontId="25" fillId="0" borderId="34" xfId="0" applyFont="1" applyFill="1" applyBorder="1" applyAlignment="1">
      <alignment/>
    </xf>
    <xf numFmtId="0" fontId="41" fillId="0" borderId="21" xfId="0" applyFont="1" applyFill="1" applyBorder="1" applyAlignment="1" applyProtection="1">
      <alignment vertical="center" wrapText="1"/>
      <protection/>
    </xf>
    <xf numFmtId="0" fontId="42" fillId="0" borderId="0" xfId="0" applyFont="1" applyAlignment="1" applyProtection="1">
      <alignment vertical="center" wrapText="1"/>
      <protection/>
    </xf>
    <xf numFmtId="3" fontId="1" fillId="0" borderId="59" xfId="0" applyNumberFormat="1" applyFont="1" applyFill="1" applyBorder="1" applyAlignment="1">
      <alignment horizontal="center" wrapText="1"/>
    </xf>
    <xf numFmtId="3" fontId="1" fillId="0" borderId="6" xfId="0" applyNumberFormat="1" applyFont="1" applyFill="1" applyBorder="1" applyAlignment="1">
      <alignment horizontal="center" wrapText="1"/>
    </xf>
    <xf numFmtId="3" fontId="1" fillId="0" borderId="60" xfId="0" applyNumberFormat="1" applyFont="1" applyFill="1" applyBorder="1" applyAlignment="1">
      <alignment horizontal="center"/>
    </xf>
    <xf numFmtId="3" fontId="0" fillId="0" borderId="4" xfId="0" applyNumberFormat="1" applyFont="1" applyFill="1" applyBorder="1" applyAlignment="1">
      <alignment horizontal="center"/>
    </xf>
    <xf numFmtId="3" fontId="1" fillId="0" borderId="0" xfId="0" applyNumberFormat="1" applyFont="1" applyBorder="1" applyAlignment="1">
      <alignment/>
    </xf>
    <xf numFmtId="0" fontId="25" fillId="0" borderId="57" xfId="0" applyFont="1" applyFill="1" applyBorder="1" applyAlignment="1">
      <alignment/>
    </xf>
    <xf numFmtId="39" fontId="25" fillId="0" borderId="61" xfId="15" applyNumberFormat="1" applyFont="1" applyFill="1" applyBorder="1" applyAlignment="1" applyProtection="1">
      <alignment horizontal="center"/>
      <protection/>
    </xf>
    <xf numFmtId="39" fontId="25" fillId="0" borderId="62" xfId="15" applyNumberFormat="1" applyFont="1" applyFill="1" applyBorder="1" applyAlignment="1" applyProtection="1">
      <alignment horizontal="center"/>
      <protection/>
    </xf>
    <xf numFmtId="173" fontId="25" fillId="0" borderId="62" xfId="0" applyNumberFormat="1" applyFont="1" applyFill="1" applyBorder="1" applyAlignment="1">
      <alignment horizontal="center"/>
    </xf>
    <xf numFmtId="173" fontId="25" fillId="0" borderId="63" xfId="0" applyNumberFormat="1" applyFont="1" applyFill="1" applyBorder="1" applyAlignment="1">
      <alignment horizontal="center"/>
    </xf>
    <xf numFmtId="0" fontId="1" fillId="0" borderId="25" xfId="0" applyFont="1" applyBorder="1" applyAlignment="1">
      <alignment horizontal="left"/>
    </xf>
    <xf numFmtId="3" fontId="1" fillId="0" borderId="33" xfId="0" applyNumberFormat="1" applyFont="1" applyFill="1" applyBorder="1" applyAlignment="1">
      <alignment horizontal="left"/>
    </xf>
    <xf numFmtId="1" fontId="1" fillId="0" borderId="47" xfId="0" applyNumberFormat="1" applyFont="1" applyFill="1" applyBorder="1" applyAlignment="1">
      <alignment horizontal="center"/>
    </xf>
    <xf numFmtId="3" fontId="1" fillId="0" borderId="12" xfId="0" applyNumberFormat="1" applyFont="1" applyFill="1" applyBorder="1" applyAlignment="1">
      <alignment horizontal="center"/>
    </xf>
    <xf numFmtId="172" fontId="0" fillId="0" borderId="59" xfId="0" applyNumberFormat="1" applyFont="1" applyFill="1" applyBorder="1" applyAlignment="1">
      <alignment horizontal="center"/>
    </xf>
    <xf numFmtId="3" fontId="0" fillId="0" borderId="14" xfId="0" applyNumberFormat="1" applyFont="1" applyFill="1" applyBorder="1" applyAlignment="1">
      <alignment horizontal="center"/>
    </xf>
    <xf numFmtId="0" fontId="1" fillId="0" borderId="14" xfId="0" applyFont="1" applyFill="1" applyBorder="1" applyAlignment="1">
      <alignment horizontal="center"/>
    </xf>
    <xf numFmtId="0" fontId="1" fillId="0" borderId="14" xfId="0" applyFont="1" applyFill="1" applyBorder="1" applyAlignment="1">
      <alignment/>
    </xf>
    <xf numFmtId="3" fontId="1" fillId="0" borderId="33" xfId="0" applyNumberFormat="1" applyFont="1" applyFill="1" applyBorder="1" applyAlignment="1">
      <alignment horizontal="left" wrapText="1"/>
    </xf>
    <xf numFmtId="169" fontId="0" fillId="0" borderId="12" xfId="0" applyNumberFormat="1" applyFont="1" applyFill="1" applyBorder="1" applyAlignment="1">
      <alignment horizontal="center"/>
    </xf>
    <xf numFmtId="1" fontId="1" fillId="0" borderId="64" xfId="0" applyNumberFormat="1" applyFont="1" applyFill="1" applyBorder="1" applyAlignment="1">
      <alignment horizontal="center"/>
    </xf>
    <xf numFmtId="0" fontId="1" fillId="2" borderId="65" xfId="0" applyFont="1" applyFill="1" applyBorder="1" applyAlignment="1">
      <alignment horizontal="center"/>
    </xf>
    <xf numFmtId="3" fontId="1" fillId="0" borderId="13" xfId="0" applyNumberFormat="1" applyFont="1" applyFill="1" applyBorder="1" applyAlignment="1">
      <alignment horizontal="center"/>
    </xf>
    <xf numFmtId="0" fontId="1" fillId="0" borderId="13" xfId="0" applyFont="1" applyFill="1" applyBorder="1" applyAlignment="1">
      <alignment horizontal="center"/>
    </xf>
    <xf numFmtId="4" fontId="25" fillId="3" borderId="5" xfId="0" applyNumberFormat="1" applyFont="1" applyFill="1" applyBorder="1" applyAlignment="1" applyProtection="1">
      <alignment horizontal="center" vertical="center"/>
      <protection locked="0"/>
    </xf>
    <xf numFmtId="0" fontId="25" fillId="0" borderId="7" xfId="0" applyFont="1" applyFill="1" applyBorder="1" applyAlignment="1">
      <alignment horizontal="center" wrapText="1"/>
    </xf>
    <xf numFmtId="0" fontId="25" fillId="0" borderId="0" xfId="0" applyFont="1" applyFill="1" applyAlignment="1">
      <alignment/>
    </xf>
    <xf numFmtId="3" fontId="0" fillId="0" borderId="5" xfId="0" applyNumberFormat="1" applyFont="1" applyBorder="1" applyAlignment="1">
      <alignment horizontal="center" vertical="center" wrapText="1"/>
    </xf>
    <xf numFmtId="3" fontId="0" fillId="0" borderId="6" xfId="0" applyNumberFormat="1" applyFont="1" applyBorder="1" applyAlignment="1">
      <alignment horizontal="center" vertical="center" wrapText="1"/>
    </xf>
    <xf numFmtId="3" fontId="0" fillId="2" borderId="56" xfId="0" applyNumberFormat="1" applyFont="1" applyFill="1" applyBorder="1" applyAlignment="1">
      <alignment horizontal="center" vertical="center" wrapText="1"/>
    </xf>
    <xf numFmtId="3" fontId="0" fillId="2" borderId="14" xfId="0" applyNumberFormat="1" applyFont="1" applyFill="1" applyBorder="1" applyAlignment="1">
      <alignment horizontal="center" vertical="center" wrapText="1"/>
    </xf>
    <xf numFmtId="3" fontId="0" fillId="2" borderId="35" xfId="0" applyNumberFormat="1" applyFont="1" applyFill="1" applyBorder="1" applyAlignment="1">
      <alignment horizontal="center" vertical="center" wrapText="1"/>
    </xf>
    <xf numFmtId="0" fontId="25" fillId="0" borderId="0" xfId="0" applyFont="1" applyAlignment="1">
      <alignment/>
    </xf>
    <xf numFmtId="3" fontId="5" fillId="0" borderId="0" xfId="0" applyNumberFormat="1" applyFont="1" applyFill="1" applyAlignment="1">
      <alignment/>
    </xf>
    <xf numFmtId="0" fontId="5" fillId="0" borderId="0" xfId="0" applyFont="1" applyAlignment="1">
      <alignment/>
    </xf>
    <xf numFmtId="0" fontId="5" fillId="0" borderId="2" xfId="0" applyFont="1" applyFill="1" applyBorder="1" applyAlignment="1">
      <alignment horizontal="center" vertical="center"/>
    </xf>
    <xf numFmtId="0" fontId="5" fillId="0" borderId="1" xfId="0" applyFont="1" applyFill="1" applyBorder="1" applyAlignment="1">
      <alignment horizontal="center" vertical="center" wrapText="1"/>
    </xf>
    <xf numFmtId="0" fontId="25" fillId="0" borderId="7" xfId="0" applyFont="1" applyFill="1" applyBorder="1" applyAlignment="1">
      <alignment horizontal="center" vertical="center" wrapText="1"/>
    </xf>
    <xf numFmtId="0" fontId="0" fillId="0" borderId="0" xfId="0" applyBorder="1" applyAlignment="1" applyProtection="1">
      <alignment/>
      <protection/>
    </xf>
    <xf numFmtId="0" fontId="0" fillId="0" borderId="0" xfId="0" applyAlignment="1" applyProtection="1">
      <alignment vertical="center"/>
      <protection/>
    </xf>
    <xf numFmtId="0" fontId="25" fillId="0" borderId="66" xfId="0" applyFont="1" applyFill="1" applyBorder="1" applyAlignment="1">
      <alignment/>
    </xf>
    <xf numFmtId="3" fontId="25" fillId="0" borderId="66" xfId="0" applyNumberFormat="1" applyFont="1" applyFill="1" applyBorder="1" applyAlignment="1">
      <alignment horizontal="center"/>
    </xf>
    <xf numFmtId="0" fontId="5" fillId="0" borderId="2" xfId="0" applyFont="1" applyFill="1" applyBorder="1" applyAlignment="1">
      <alignment wrapText="1"/>
    </xf>
    <xf numFmtId="3" fontId="0" fillId="0" borderId="6" xfId="0" applyNumberFormat="1" applyFill="1" applyBorder="1" applyAlignment="1">
      <alignment horizontal="center"/>
    </xf>
    <xf numFmtId="0" fontId="5" fillId="0" borderId="35" xfId="0" applyFont="1" applyFill="1" applyBorder="1" applyAlignment="1">
      <alignment horizontal="center" vertical="center" wrapText="1"/>
    </xf>
    <xf numFmtId="0" fontId="25" fillId="0" borderId="35" xfId="0" applyFont="1" applyFill="1" applyBorder="1" applyAlignment="1">
      <alignment horizontal="center" vertical="center" wrapText="1"/>
    </xf>
    <xf numFmtId="0" fontId="25" fillId="0" borderId="36" xfId="0" applyFont="1" applyFill="1" applyBorder="1" applyAlignment="1">
      <alignment horizontal="center" wrapText="1"/>
    </xf>
    <xf numFmtId="3" fontId="25" fillId="0" borderId="6" xfId="0" applyNumberFormat="1" applyFont="1" applyFill="1" applyBorder="1" applyAlignment="1">
      <alignment horizontal="center" vertical="center" wrapText="1"/>
    </xf>
    <xf numFmtId="0" fontId="5" fillId="0" borderId="0" xfId="0" applyFont="1" applyFill="1" applyAlignment="1">
      <alignment/>
    </xf>
    <xf numFmtId="0" fontId="25" fillId="0" borderId="2" xfId="0" applyFont="1" applyFill="1" applyBorder="1" applyAlignment="1">
      <alignment/>
    </xf>
    <xf numFmtId="0" fontId="5" fillId="0" borderId="18" xfId="0" applyFont="1" applyFill="1" applyBorder="1" applyAlignment="1">
      <alignment wrapText="1"/>
    </xf>
    <xf numFmtId="0" fontId="25" fillId="0" borderId="6" xfId="0" applyFont="1" applyFill="1" applyBorder="1" applyAlignment="1">
      <alignment horizontal="center"/>
    </xf>
    <xf numFmtId="0" fontId="5" fillId="0" borderId="16" xfId="0" applyFont="1" applyFill="1" applyBorder="1" applyAlignment="1">
      <alignment wrapText="1"/>
    </xf>
    <xf numFmtId="0" fontId="25" fillId="0" borderId="7" xfId="0" applyFont="1" applyFill="1" applyBorder="1" applyAlignment="1">
      <alignment horizontal="center"/>
    </xf>
    <xf numFmtId="0" fontId="1" fillId="0" borderId="18" xfId="0" applyFont="1" applyFill="1" applyBorder="1" applyAlignment="1">
      <alignment wrapText="1"/>
    </xf>
    <xf numFmtId="0" fontId="1" fillId="0" borderId="16" xfId="0" applyFont="1" applyFill="1" applyBorder="1" applyAlignment="1">
      <alignment wrapText="1"/>
    </xf>
    <xf numFmtId="0" fontId="25" fillId="0" borderId="0" xfId="0" applyFont="1" applyFill="1" applyBorder="1" applyAlignment="1">
      <alignment wrapText="1"/>
    </xf>
    <xf numFmtId="0" fontId="0" fillId="0" borderId="0" xfId="0" applyFill="1" applyBorder="1" applyAlignment="1">
      <alignment wrapText="1"/>
    </xf>
    <xf numFmtId="3" fontId="0" fillId="0" borderId="0" xfId="0" applyNumberFormat="1" applyFont="1" applyFill="1" applyBorder="1" applyAlignment="1">
      <alignment horizontal="center" vertical="center" wrapText="1"/>
    </xf>
    <xf numFmtId="3" fontId="0" fillId="0" borderId="0" xfId="0" applyNumberFormat="1" applyFont="1" applyFill="1" applyBorder="1" applyAlignment="1">
      <alignment horizontal="left"/>
    </xf>
    <xf numFmtId="3" fontId="1" fillId="0" borderId="5" xfId="0" applyNumberFormat="1" applyFont="1" applyFill="1" applyBorder="1" applyAlignment="1">
      <alignment horizontal="center"/>
    </xf>
    <xf numFmtId="3" fontId="1" fillId="2" borderId="0" xfId="0" applyNumberFormat="1" applyFont="1" applyFill="1" applyBorder="1" applyAlignment="1">
      <alignment horizontal="center"/>
    </xf>
    <xf numFmtId="3" fontId="1" fillId="0" borderId="6" xfId="0" applyNumberFormat="1" applyFont="1" applyFill="1" applyBorder="1" applyAlignment="1">
      <alignment horizontal="center"/>
    </xf>
    <xf numFmtId="0" fontId="1" fillId="2" borderId="25" xfId="0" applyFont="1" applyFill="1" applyBorder="1" applyAlignment="1">
      <alignment horizontal="left"/>
    </xf>
    <xf numFmtId="3" fontId="1" fillId="2" borderId="52" xfId="0" applyNumberFormat="1" applyFont="1" applyFill="1" applyBorder="1" applyAlignment="1">
      <alignment horizontal="center"/>
    </xf>
    <xf numFmtId="0" fontId="0" fillId="0" borderId="0" xfId="0" applyAlignment="1">
      <alignment vertical="center"/>
    </xf>
    <xf numFmtId="0" fontId="1" fillId="0" borderId="16" xfId="0" applyFont="1" applyFill="1" applyBorder="1" applyAlignment="1">
      <alignment horizontal="left" wrapText="1"/>
    </xf>
    <xf numFmtId="0" fontId="1" fillId="0" borderId="67" xfId="0" applyFont="1" applyFill="1" applyBorder="1" applyAlignment="1">
      <alignment horizontal="left" wrapText="1"/>
    </xf>
    <xf numFmtId="4" fontId="0" fillId="0" borderId="51" xfId="0" applyNumberFormat="1" applyFont="1" applyFill="1" applyBorder="1" applyAlignment="1">
      <alignment horizontal="center"/>
    </xf>
    <xf numFmtId="4" fontId="0" fillId="0" borderId="29" xfId="0" applyNumberFormat="1" applyFont="1" applyFill="1" applyBorder="1" applyAlignment="1">
      <alignment horizontal="center"/>
    </xf>
    <xf numFmtId="3" fontId="1" fillId="0" borderId="9" xfId="0" applyNumberFormat="1" applyFont="1" applyFill="1" applyBorder="1" applyAlignment="1">
      <alignment horizontal="center" vertical="center"/>
    </xf>
    <xf numFmtId="3" fontId="1" fillId="0" borderId="7" xfId="0" applyNumberFormat="1" applyFont="1" applyFill="1" applyBorder="1" applyAlignment="1">
      <alignment horizontal="center" vertical="center"/>
    </xf>
    <xf numFmtId="0" fontId="1" fillId="0" borderId="41" xfId="0" applyFont="1" applyBorder="1" applyAlignment="1">
      <alignment horizontal="left"/>
    </xf>
    <xf numFmtId="3" fontId="0" fillId="0" borderId="24" xfId="0" applyNumberFormat="1" applyFont="1" applyBorder="1" applyAlignment="1">
      <alignment horizontal="center" vertical="center" wrapText="1"/>
    </xf>
    <xf numFmtId="3" fontId="0" fillId="2" borderId="68" xfId="0" applyNumberFormat="1" applyFill="1" applyBorder="1" applyAlignment="1">
      <alignment/>
    </xf>
    <xf numFmtId="3" fontId="0" fillId="0" borderId="29" xfId="0" applyNumberFormat="1" applyBorder="1" applyAlignment="1">
      <alignment horizontal="center"/>
    </xf>
    <xf numFmtId="0" fontId="1" fillId="0" borderId="2" xfId="0" applyFont="1" applyBorder="1" applyAlignment="1">
      <alignment horizontal="center" wrapText="1"/>
    </xf>
    <xf numFmtId="3" fontId="0" fillId="0" borderId="16" xfId="0" applyNumberFormat="1" applyBorder="1" applyAlignment="1">
      <alignment horizontal="center"/>
    </xf>
    <xf numFmtId="0" fontId="0" fillId="0" borderId="9" xfId="0" applyNumberFormat="1" applyBorder="1" applyAlignment="1">
      <alignment horizontal="center"/>
    </xf>
    <xf numFmtId="3" fontId="0" fillId="0" borderId="9" xfId="0" applyNumberFormat="1" applyBorder="1" applyAlignment="1">
      <alignment horizontal="center"/>
    </xf>
    <xf numFmtId="3" fontId="0" fillId="0" borderId="7" xfId="0" applyNumberFormat="1" applyFont="1" applyFill="1" applyBorder="1" applyAlignment="1">
      <alignment horizontal="center"/>
    </xf>
    <xf numFmtId="1" fontId="0" fillId="0" borderId="9" xfId="0" applyNumberFormat="1" applyFont="1" applyFill="1" applyBorder="1" applyAlignment="1">
      <alignment horizontal="center"/>
    </xf>
    <xf numFmtId="0" fontId="5" fillId="0" borderId="0" xfId="0" applyFont="1" applyAlignment="1" applyProtection="1">
      <alignment vertical="center" wrapText="1"/>
      <protection/>
    </xf>
    <xf numFmtId="0" fontId="41" fillId="0" borderId="0" xfId="0" applyNumberFormat="1" applyFont="1" applyAlignment="1" applyProtection="1">
      <alignment vertical="center"/>
      <protection/>
    </xf>
    <xf numFmtId="0" fontId="41" fillId="0" borderId="0" xfId="0" applyFont="1" applyFill="1" applyBorder="1" applyAlignment="1" applyProtection="1">
      <alignment vertical="center" wrapText="1"/>
      <protection/>
    </xf>
    <xf numFmtId="0" fontId="1" fillId="0" borderId="47" xfId="0" applyFont="1" applyFill="1" applyBorder="1" applyAlignment="1">
      <alignment horizontal="left" wrapText="1"/>
    </xf>
    <xf numFmtId="1" fontId="1" fillId="0" borderId="12" xfId="0" applyNumberFormat="1" applyFont="1" applyFill="1" applyBorder="1" applyAlignment="1">
      <alignment horizontal="center" wrapText="1"/>
    </xf>
    <xf numFmtId="1" fontId="1" fillId="0" borderId="53" xfId="0" applyNumberFormat="1" applyFont="1" applyFill="1" applyBorder="1" applyAlignment="1">
      <alignment horizontal="center" wrapText="1"/>
    </xf>
    <xf numFmtId="1" fontId="1" fillId="0" borderId="59" xfId="0" applyNumberFormat="1" applyFont="1" applyFill="1" applyBorder="1" applyAlignment="1">
      <alignment horizontal="center" wrapText="1"/>
    </xf>
    <xf numFmtId="0" fontId="1" fillId="0" borderId="46" xfId="0" applyFont="1" applyBorder="1" applyAlignment="1">
      <alignment horizontal="left" wrapText="1"/>
    </xf>
    <xf numFmtId="0" fontId="1" fillId="0" borderId="23" xfId="0" applyFont="1" applyBorder="1" applyAlignment="1">
      <alignment horizontal="center" wrapText="1"/>
    </xf>
    <xf numFmtId="0" fontId="1" fillId="0" borderId="48" xfId="0" applyFont="1" applyBorder="1" applyAlignment="1">
      <alignment horizontal="center" wrapText="1"/>
    </xf>
    <xf numFmtId="3" fontId="1" fillId="2" borderId="20" xfId="0" applyNumberFormat="1" applyFont="1" applyFill="1" applyBorder="1" applyAlignment="1">
      <alignment horizontal="center" vertical="center"/>
    </xf>
    <xf numFmtId="3" fontId="1" fillId="2" borderId="19" xfId="0" applyNumberFormat="1" applyFont="1" applyFill="1" applyBorder="1" applyAlignment="1">
      <alignment horizontal="center"/>
    </xf>
    <xf numFmtId="0" fontId="0" fillId="0" borderId="46" xfId="0" applyFont="1" applyBorder="1" applyAlignment="1">
      <alignment horizontal="left" wrapText="1"/>
    </xf>
    <xf numFmtId="0" fontId="1" fillId="0" borderId="12" xfId="0" applyNumberFormat="1" applyFont="1" applyBorder="1" applyAlignment="1">
      <alignment horizontal="center"/>
    </xf>
    <xf numFmtId="0" fontId="0" fillId="0" borderId="46" xfId="0" applyFont="1" applyBorder="1" applyAlignment="1">
      <alignment horizontal="left"/>
    </xf>
    <xf numFmtId="0" fontId="1" fillId="0" borderId="11" xfId="0" applyFont="1" applyBorder="1" applyAlignment="1">
      <alignment horizontal="center"/>
    </xf>
    <xf numFmtId="0" fontId="1" fillId="0" borderId="59" xfId="0" applyFont="1" applyBorder="1" applyAlignment="1">
      <alignment horizontal="center"/>
    </xf>
    <xf numFmtId="3" fontId="1" fillId="0" borderId="20" xfId="0" applyNumberFormat="1" applyFont="1" applyFill="1" applyBorder="1" applyAlignment="1">
      <alignment horizontal="center" vertical="center"/>
    </xf>
    <xf numFmtId="3" fontId="1" fillId="0" borderId="49" xfId="0" applyNumberFormat="1" applyFont="1" applyFill="1" applyBorder="1" applyAlignment="1">
      <alignment horizontal="center" vertical="center"/>
    </xf>
    <xf numFmtId="0" fontId="0" fillId="2" borderId="45" xfId="0" applyFill="1" applyBorder="1" applyAlignment="1">
      <alignment/>
    </xf>
    <xf numFmtId="0" fontId="0" fillId="2" borderId="38" xfId="0" applyFill="1" applyBorder="1" applyAlignment="1">
      <alignment wrapText="1"/>
    </xf>
    <xf numFmtId="3" fontId="0" fillId="0" borderId="19" xfId="0" applyNumberFormat="1" applyFont="1" applyFill="1" applyBorder="1" applyAlignment="1">
      <alignment horizontal="center" vertical="center"/>
    </xf>
    <xf numFmtId="0" fontId="1" fillId="0" borderId="12" xfId="0" applyFont="1" applyBorder="1" applyAlignment="1">
      <alignment horizontal="center"/>
    </xf>
    <xf numFmtId="0" fontId="7" fillId="0" borderId="0" xfId="0" applyFont="1" applyFill="1" applyAlignment="1">
      <alignment wrapText="1"/>
    </xf>
    <xf numFmtId="0" fontId="5" fillId="0" borderId="0" xfId="0" applyFont="1" applyAlignment="1" applyProtection="1">
      <alignment wrapText="1"/>
      <protection/>
    </xf>
    <xf numFmtId="3" fontId="69" fillId="0" borderId="0" xfId="0" applyNumberFormat="1" applyFont="1" applyAlignment="1">
      <alignment horizontal="left"/>
    </xf>
    <xf numFmtId="191" fontId="70" fillId="0" borderId="0" xfId="0" applyNumberFormat="1" applyFont="1" applyAlignment="1">
      <alignment/>
    </xf>
    <xf numFmtId="0" fontId="5" fillId="0" borderId="0" xfId="0" applyFont="1" applyFill="1" applyAlignment="1">
      <alignment horizontal="right"/>
    </xf>
    <xf numFmtId="0" fontId="5" fillId="0" borderId="0" xfId="0" applyFont="1" applyFill="1" applyAlignment="1">
      <alignment horizontal="right" vertical="top"/>
    </xf>
    <xf numFmtId="0" fontId="1" fillId="0" borderId="12" xfId="0" applyFont="1" applyFill="1" applyBorder="1" applyAlignment="1">
      <alignment horizontal="center" wrapText="1"/>
    </xf>
    <xf numFmtId="0" fontId="1" fillId="0" borderId="69" xfId="0" applyFont="1" applyBorder="1" applyAlignment="1">
      <alignment horizontal="center" wrapText="1"/>
    </xf>
    <xf numFmtId="3" fontId="0" fillId="0" borderId="50" xfId="0" applyNumberFormat="1" applyFont="1" applyFill="1" applyBorder="1" applyAlignment="1">
      <alignment horizontal="center"/>
    </xf>
    <xf numFmtId="0" fontId="7" fillId="0" borderId="0" xfId="0" applyFont="1" applyAlignment="1">
      <alignment horizontal="left"/>
    </xf>
    <xf numFmtId="167" fontId="25" fillId="3" borderId="5" xfId="0" applyNumberFormat="1" applyFont="1" applyFill="1" applyBorder="1" applyAlignment="1" applyProtection="1">
      <alignment horizontal="center" vertical="center"/>
      <protection locked="0"/>
    </xf>
    <xf numFmtId="1" fontId="5" fillId="3" borderId="5" xfId="0" applyNumberFormat="1" applyFont="1" applyFill="1" applyBorder="1" applyAlignment="1" applyProtection="1">
      <alignment horizontal="center" vertical="center"/>
      <protection locked="0"/>
    </xf>
    <xf numFmtId="208" fontId="25" fillId="3" borderId="5" xfId="0" applyNumberFormat="1" applyFont="1" applyFill="1" applyBorder="1" applyAlignment="1" applyProtection="1">
      <alignment horizontal="center"/>
      <protection locked="0"/>
    </xf>
    <xf numFmtId="1" fontId="5" fillId="3" borderId="5" xfId="0" applyNumberFormat="1" applyFont="1" applyFill="1" applyBorder="1" applyAlignment="1" applyProtection="1">
      <alignment horizontal="center" vertical="center" wrapText="1"/>
      <protection locked="0"/>
    </xf>
    <xf numFmtId="0" fontId="0" fillId="0" borderId="59" xfId="0" applyBorder="1" applyAlignment="1">
      <alignment/>
    </xf>
    <xf numFmtId="0" fontId="1" fillId="0" borderId="11" xfId="0" applyFont="1" applyFill="1" applyBorder="1" applyAlignment="1">
      <alignment horizontal="center" wrapText="1"/>
    </xf>
    <xf numFmtId="0" fontId="0" fillId="0" borderId="12" xfId="0" applyBorder="1" applyAlignment="1">
      <alignment/>
    </xf>
    <xf numFmtId="3" fontId="1" fillId="0" borderId="11" xfId="0" applyNumberFormat="1" applyFont="1" applyFill="1" applyBorder="1" applyAlignment="1">
      <alignment horizontal="center" wrapText="1"/>
    </xf>
    <xf numFmtId="0" fontId="1" fillId="0" borderId="11" xfId="0" applyFont="1" applyBorder="1" applyAlignment="1">
      <alignment horizontal="center" wrapText="1"/>
    </xf>
    <xf numFmtId="0" fontId="0" fillId="0" borderId="12" xfId="0" applyBorder="1" applyAlignment="1">
      <alignment horizontal="center"/>
    </xf>
    <xf numFmtId="43" fontId="0" fillId="0" borderId="0" xfId="0" applyNumberFormat="1" applyFont="1" applyAlignment="1">
      <alignment horizontal="left" wrapText="1"/>
    </xf>
    <xf numFmtId="0" fontId="0" fillId="0" borderId="0" xfId="0" applyNumberFormat="1" applyFont="1" applyFill="1" applyAlignment="1">
      <alignment wrapText="1"/>
    </xf>
    <xf numFmtId="0" fontId="0" fillId="0" borderId="0" xfId="0" applyNumberFormat="1" applyAlignment="1">
      <alignment wrapText="1"/>
    </xf>
    <xf numFmtId="0" fontId="0" fillId="0" borderId="0" xfId="0" applyFont="1" applyAlignment="1">
      <alignment wrapText="1"/>
    </xf>
    <xf numFmtId="0" fontId="1" fillId="0" borderId="3" xfId="0" applyFont="1" applyBorder="1" applyAlignment="1">
      <alignment horizontal="center" wrapText="1"/>
    </xf>
    <xf numFmtId="0" fontId="0" fillId="0" borderId="5" xfId="0" applyFont="1" applyBorder="1" applyAlignment="1">
      <alignment/>
    </xf>
    <xf numFmtId="0" fontId="0" fillId="0" borderId="12" xfId="0" applyBorder="1" applyAlignment="1">
      <alignment horizontal="center" wrapText="1"/>
    </xf>
    <xf numFmtId="0" fontId="1" fillId="0" borderId="48" xfId="0" applyFont="1" applyFill="1" applyBorder="1" applyAlignment="1">
      <alignment horizontal="center" wrapText="1"/>
    </xf>
    <xf numFmtId="0" fontId="4" fillId="0" borderId="0" xfId="0" applyFont="1" applyAlignment="1" applyProtection="1">
      <alignment horizontal="left"/>
      <protection/>
    </xf>
    <xf numFmtId="0" fontId="42" fillId="0" borderId="0" xfId="0" applyFont="1" applyAlignment="1" applyProtection="1">
      <alignment vertical="center" wrapText="1"/>
      <protection/>
    </xf>
    <xf numFmtId="172" fontId="25" fillId="0" borderId="0" xfId="0" applyNumberFormat="1" applyFont="1" applyFill="1" applyBorder="1" applyAlignment="1" applyProtection="1">
      <alignment horizontal="left" wrapText="1"/>
      <protection/>
    </xf>
    <xf numFmtId="3" fontId="25" fillId="0" borderId="0" xfId="0" applyNumberFormat="1" applyFont="1" applyAlignment="1" applyProtection="1">
      <alignment horizontal="left" vertical="center" wrapText="1"/>
      <protection/>
    </xf>
    <xf numFmtId="0" fontId="25" fillId="0" borderId="0" xfId="0" applyFont="1" applyAlignment="1" applyProtection="1">
      <alignment horizontal="left" vertical="center" wrapText="1"/>
      <protection/>
    </xf>
    <xf numFmtId="0" fontId="0" fillId="0" borderId="0" xfId="0" applyAlignment="1" applyProtection="1">
      <alignment horizontal="left" vertical="center"/>
      <protection/>
    </xf>
    <xf numFmtId="3" fontId="25" fillId="0" borderId="0" xfId="0" applyNumberFormat="1" applyFont="1" applyFill="1" applyAlignment="1" applyProtection="1">
      <alignment horizontal="left" vertical="center" wrapText="1"/>
      <protection/>
    </xf>
    <xf numFmtId="0" fontId="25" fillId="0" borderId="0" xfId="0" applyFont="1" applyFill="1" applyAlignment="1" applyProtection="1">
      <alignment horizontal="left" vertical="center" wrapText="1"/>
      <protection/>
    </xf>
    <xf numFmtId="0" fontId="45" fillId="0" borderId="0" xfId="0" applyFont="1" applyAlignment="1" applyProtection="1">
      <alignment wrapText="1"/>
      <protection/>
    </xf>
    <xf numFmtId="0" fontId="42" fillId="0" borderId="0" xfId="0" applyFont="1" applyAlignment="1">
      <alignment wrapText="1"/>
    </xf>
    <xf numFmtId="0" fontId="41" fillId="0" borderId="0" xfId="0" applyFont="1" applyFill="1" applyAlignment="1" applyProtection="1">
      <alignment vertical="center" wrapText="1"/>
      <protection/>
    </xf>
    <xf numFmtId="0" fontId="1" fillId="0" borderId="48" xfId="0" applyFont="1" applyBorder="1" applyAlignment="1">
      <alignment horizontal="center" wrapText="1"/>
    </xf>
    <xf numFmtId="0" fontId="0" fillId="0" borderId="0" xfId="0" applyAlignment="1">
      <alignment wrapText="1"/>
    </xf>
    <xf numFmtId="0" fontId="42" fillId="0" borderId="0" xfId="0" applyFont="1" applyAlignment="1" applyProtection="1">
      <alignment wrapText="1"/>
      <protection/>
    </xf>
    <xf numFmtId="0" fontId="42" fillId="0" borderId="0" xfId="0" applyFont="1" applyAlignment="1" applyProtection="1">
      <alignment/>
      <protection/>
    </xf>
    <xf numFmtId="0" fontId="25" fillId="0" borderId="0" xfId="0" applyFont="1" applyAlignment="1" applyProtection="1">
      <alignment horizontal="left" wrapText="1"/>
      <protection/>
    </xf>
    <xf numFmtId="0" fontId="42" fillId="0" borderId="0" xfId="0" applyFont="1" applyFill="1" applyAlignment="1" applyProtection="1">
      <alignment wrapText="1"/>
      <protection/>
    </xf>
    <xf numFmtId="0" fontId="42" fillId="0" borderId="0" xfId="0" applyFont="1" applyFill="1" applyAlignment="1" applyProtection="1">
      <alignment/>
      <protection/>
    </xf>
    <xf numFmtId="0" fontId="0" fillId="0" borderId="0" xfId="0" applyAlignment="1" applyProtection="1">
      <alignment wrapText="1"/>
      <protection/>
    </xf>
    <xf numFmtId="0" fontId="2" fillId="0" borderId="0" xfId="0" applyFont="1" applyAlignment="1" applyProtection="1">
      <alignment wrapText="1"/>
      <protection/>
    </xf>
    <xf numFmtId="0" fontId="4" fillId="0" borderId="0" xfId="0" applyFont="1" applyFill="1" applyAlignment="1" applyProtection="1">
      <alignment wrapText="1"/>
      <protection/>
    </xf>
    <xf numFmtId="0" fontId="0" fillId="0" borderId="0" xfId="0" applyAlignment="1" applyProtection="1">
      <alignment/>
      <protection/>
    </xf>
    <xf numFmtId="0" fontId="26" fillId="0" borderId="0" xfId="0" applyFont="1" applyFill="1" applyAlignment="1">
      <alignment wrapText="1"/>
    </xf>
    <xf numFmtId="0" fontId="0" fillId="0" borderId="0" xfId="0" applyFill="1" applyAlignment="1">
      <alignment wrapText="1"/>
    </xf>
    <xf numFmtId="0" fontId="35" fillId="0" borderId="0" xfId="0" applyFont="1" applyFill="1" applyAlignment="1">
      <alignment wrapText="1"/>
    </xf>
    <xf numFmtId="0" fontId="25" fillId="0" borderId="0" xfId="0" applyFont="1" applyFill="1" applyAlignment="1">
      <alignment wrapText="1"/>
    </xf>
    <xf numFmtId="0" fontId="0" fillId="0" borderId="0" xfId="0" applyFont="1" applyFill="1" applyAlignment="1">
      <alignment wrapText="1"/>
    </xf>
    <xf numFmtId="0" fontId="4" fillId="0" borderId="0" xfId="0" applyFont="1" applyFill="1" applyAlignment="1">
      <alignment wrapText="1"/>
    </xf>
    <xf numFmtId="0" fontId="41" fillId="0" borderId="21" xfId="0" applyFont="1" applyBorder="1" applyAlignment="1" applyProtection="1">
      <alignment horizontal="left" vertical="center" wrapText="1"/>
      <protection/>
    </xf>
    <xf numFmtId="0" fontId="0" fillId="0" borderId="0" xfId="0" applyAlignment="1">
      <alignment horizontal="left" vertical="center" wrapText="1"/>
    </xf>
    <xf numFmtId="0" fontId="41" fillId="0" borderId="21" xfId="0" applyFont="1" applyFill="1" applyBorder="1" applyAlignment="1" applyProtection="1">
      <alignment vertical="center" wrapText="1"/>
      <protection/>
    </xf>
    <xf numFmtId="0" fontId="0" fillId="0" borderId="0" xfId="0" applyAlignment="1">
      <alignment vertical="center" wrapText="1"/>
    </xf>
    <xf numFmtId="3" fontId="25" fillId="0" borderId="0" xfId="0" applyNumberFormat="1" applyFont="1" applyAlignment="1" applyProtection="1">
      <alignment horizontal="left" wrapText="1"/>
      <protection/>
    </xf>
    <xf numFmtId="0" fontId="25" fillId="0" borderId="0" xfId="0" applyFont="1" applyAlignment="1" applyProtection="1">
      <alignment wrapText="1"/>
      <protection/>
    </xf>
    <xf numFmtId="0" fontId="0" fillId="0" borderId="0" xfId="0" applyAlignment="1">
      <alignment/>
    </xf>
    <xf numFmtId="0" fontId="0" fillId="0" borderId="0" xfId="0" applyAlignment="1">
      <alignment vertical="center"/>
    </xf>
    <xf numFmtId="0" fontId="45" fillId="0" borderId="0" xfId="0" applyFont="1" applyAlignment="1" applyProtection="1">
      <alignment vertical="center" wrapText="1"/>
      <protection/>
    </xf>
    <xf numFmtId="0" fontId="45" fillId="0" borderId="0" xfId="0" applyFont="1" applyFill="1" applyBorder="1" applyAlignment="1" applyProtection="1">
      <alignment wrapText="1"/>
      <protection/>
    </xf>
    <xf numFmtId="0" fontId="41" fillId="0" borderId="21" xfId="0" applyFont="1" applyBorder="1" applyAlignment="1" applyProtection="1">
      <alignment vertical="center" wrapText="1"/>
      <protection/>
    </xf>
    <xf numFmtId="0" fontId="0" fillId="0" borderId="21" xfId="0" applyBorder="1" applyAlignment="1">
      <alignment vertical="center"/>
    </xf>
    <xf numFmtId="0" fontId="45" fillId="0" borderId="0" xfId="0" applyFont="1" applyFill="1" applyAlignment="1" applyProtection="1">
      <alignment/>
      <protection/>
    </xf>
    <xf numFmtId="0" fontId="0" fillId="0" borderId="0" xfId="0" applyAlignment="1" applyProtection="1">
      <alignment/>
      <protection/>
    </xf>
    <xf numFmtId="0" fontId="45" fillId="0" borderId="0" xfId="0" applyFont="1" applyFill="1" applyAlignment="1" applyProtection="1">
      <alignment wrapText="1"/>
      <protection/>
    </xf>
    <xf numFmtId="0" fontId="0" fillId="0" borderId="59" xfId="0" applyFill="1" applyBorder="1" applyAlignment="1">
      <alignment wrapText="1"/>
    </xf>
    <xf numFmtId="39" fontId="0" fillId="0" borderId="0" xfId="0" applyNumberFormat="1" applyFont="1" applyFill="1" applyAlignment="1">
      <alignment horizontal="left" wrapText="1"/>
    </xf>
    <xf numFmtId="189" fontId="0" fillId="0" borderId="0" xfId="0" applyNumberFormat="1" applyFont="1" applyFill="1" applyAlignment="1">
      <alignment wrapText="1"/>
    </xf>
    <xf numFmtId="0" fontId="1" fillId="0" borderId="1" xfId="0" applyFont="1" applyBorder="1" applyAlignment="1">
      <alignment horizontal="center" wrapText="1"/>
    </xf>
    <xf numFmtId="0" fontId="1" fillId="0" borderId="6" xfId="0" applyFont="1" applyBorder="1" applyAlignment="1">
      <alignment horizontal="center"/>
    </xf>
    <xf numFmtId="0" fontId="1" fillId="0" borderId="54" xfId="0" applyFont="1" applyBorder="1" applyAlignment="1">
      <alignment horizontal="center" wrapText="1"/>
    </xf>
    <xf numFmtId="0" fontId="0" fillId="0" borderId="60" xfId="0" applyFont="1" applyBorder="1" applyAlignment="1">
      <alignment horizontal="center" wrapText="1"/>
    </xf>
    <xf numFmtId="0" fontId="0" fillId="0" borderId="12" xfId="0" applyFont="1" applyBorder="1" applyAlignment="1">
      <alignment wrapText="1"/>
    </xf>
    <xf numFmtId="3" fontId="1" fillId="0" borderId="48" xfId="0" applyNumberFormat="1" applyFont="1" applyFill="1" applyBorder="1" applyAlignment="1">
      <alignment horizontal="center" wrapText="1"/>
    </xf>
    <xf numFmtId="0" fontId="0" fillId="0" borderId="59" xfId="0" applyFont="1" applyBorder="1" applyAlignment="1">
      <alignment horizontal="center" wrapText="1"/>
    </xf>
    <xf numFmtId="39" fontId="0" fillId="0" borderId="0" xfId="0" applyNumberFormat="1" applyFont="1" applyFill="1" applyAlignment="1">
      <alignment wrapText="1"/>
    </xf>
    <xf numFmtId="3" fontId="0" fillId="0" borderId="0" xfId="0" applyNumberFormat="1" applyFont="1" applyFill="1" applyAlignment="1">
      <alignment wrapText="1"/>
    </xf>
    <xf numFmtId="165" fontId="8" fillId="0" borderId="0" xfId="0" applyNumberFormat="1" applyFont="1" applyAlignment="1">
      <alignment horizontal="left" wrapText="1"/>
    </xf>
    <xf numFmtId="0" fontId="1" fillId="0" borderId="3" xfId="0" applyFont="1" applyFill="1" applyBorder="1" applyAlignment="1">
      <alignment horizontal="center" wrapText="1"/>
    </xf>
    <xf numFmtId="0" fontId="0" fillId="0" borderId="5" xfId="0" applyFont="1" applyFill="1" applyBorder="1" applyAlignment="1">
      <alignment horizontal="center"/>
    </xf>
    <xf numFmtId="3" fontId="0" fillId="0" borderId="0" xfId="0" applyNumberFormat="1" applyFont="1" applyFill="1" applyAlignment="1">
      <alignment horizontal="left" wrapText="1"/>
    </xf>
    <xf numFmtId="0" fontId="0" fillId="0" borderId="0" xfId="0" applyFont="1" applyFill="1" applyAlignment="1">
      <alignment horizontal="left" wrapText="1"/>
    </xf>
    <xf numFmtId="3" fontId="1" fillId="0" borderId="1" xfId="0" applyNumberFormat="1" applyFont="1" applyFill="1" applyBorder="1" applyAlignment="1">
      <alignment horizontal="center" wrapText="1"/>
    </xf>
    <xf numFmtId="0" fontId="0" fillId="0" borderId="6" xfId="0" applyFont="1" applyFill="1" applyBorder="1" applyAlignment="1">
      <alignment horizontal="center"/>
    </xf>
    <xf numFmtId="43" fontId="0" fillId="0" borderId="0" xfId="0" applyNumberFormat="1" applyFont="1" applyFill="1" applyAlignment="1">
      <alignment wrapText="1"/>
    </xf>
    <xf numFmtId="0" fontId="0" fillId="0" borderId="12" xfId="0" applyFont="1" applyBorder="1" applyAlignment="1">
      <alignment horizontal="center" wrapText="1"/>
    </xf>
    <xf numFmtId="2" fontId="0" fillId="0" borderId="0" xfId="0" applyNumberFormat="1" applyFont="1" applyFill="1" applyAlignment="1">
      <alignment wrapText="1"/>
    </xf>
    <xf numFmtId="0" fontId="0" fillId="0" borderId="6" xfId="0" applyBorder="1" applyAlignment="1">
      <alignment horizontal="center"/>
    </xf>
    <xf numFmtId="0" fontId="0" fillId="0" borderId="5" xfId="0" applyBorder="1" applyAlignment="1">
      <alignment horizontal="center"/>
    </xf>
    <xf numFmtId="3" fontId="19" fillId="0" borderId="0" xfId="0" applyNumberFormat="1" applyFont="1" applyFill="1" applyBorder="1" applyAlignment="1">
      <alignment horizontal="left" wrapText="1"/>
    </xf>
    <xf numFmtId="0" fontId="0" fillId="0" borderId="5" xfId="0" applyBorder="1" applyAlignment="1">
      <alignment horizontal="center" wrapText="1"/>
    </xf>
    <xf numFmtId="3" fontId="1" fillId="2" borderId="11" xfId="0" applyNumberFormat="1" applyFont="1" applyFill="1" applyBorder="1" applyAlignment="1">
      <alignment horizontal="center" wrapText="1"/>
    </xf>
    <xf numFmtId="0" fontId="0" fillId="2" borderId="19" xfId="0" applyFill="1" applyBorder="1" applyAlignment="1">
      <alignment horizontal="center"/>
    </xf>
    <xf numFmtId="0" fontId="0" fillId="0" borderId="59" xfId="0" applyBorder="1" applyAlignment="1">
      <alignment horizontal="center" wrapText="1"/>
    </xf>
    <xf numFmtId="0" fontId="1" fillId="0" borderId="1" xfId="0" applyFont="1" applyFill="1" applyBorder="1" applyAlignment="1">
      <alignment horizontal="center" wrapText="1"/>
    </xf>
    <xf numFmtId="0" fontId="0" fillId="0" borderId="6" xfId="0" applyFill="1" applyBorder="1" applyAlignment="1">
      <alignment/>
    </xf>
    <xf numFmtId="0" fontId="0" fillId="0" borderId="55" xfId="0" applyFont="1" applyBorder="1" applyAlignment="1">
      <alignment horizontal="center" wrapText="1"/>
    </xf>
    <xf numFmtId="0" fontId="0" fillId="0" borderId="5" xfId="0" applyFill="1" applyBorder="1" applyAlignment="1">
      <alignment horizontal="center"/>
    </xf>
    <xf numFmtId="0" fontId="0" fillId="0" borderId="12" xfId="0" applyFont="1" applyFill="1" applyBorder="1" applyAlignment="1">
      <alignment horizontal="center" wrapText="1"/>
    </xf>
    <xf numFmtId="0" fontId="2" fillId="0" borderId="0" xfId="0" applyFont="1" applyAlignment="1">
      <alignment horizontal="left" wrapText="1"/>
    </xf>
    <xf numFmtId="0" fontId="0" fillId="0" borderId="5" xfId="0" applyFill="1" applyBorder="1" applyAlignment="1">
      <alignment/>
    </xf>
    <xf numFmtId="0" fontId="25" fillId="0" borderId="0" xfId="0" applyFont="1" applyFill="1" applyAlignment="1">
      <alignment wrapText="1"/>
    </xf>
    <xf numFmtId="0" fontId="31" fillId="0" borderId="0" xfId="0" applyFont="1" applyFill="1" applyAlignment="1">
      <alignment wrapText="1"/>
    </xf>
    <xf numFmtId="43" fontId="25" fillId="0" borderId="14" xfId="15" applyFont="1" applyFill="1" applyBorder="1" applyAlignment="1">
      <alignment horizontal="left" wrapText="1"/>
    </xf>
    <xf numFmtId="0" fontId="0" fillId="0" borderId="14" xfId="0" applyBorder="1" applyAlignment="1">
      <alignment wrapText="1"/>
    </xf>
    <xf numFmtId="0" fontId="25" fillId="0" borderId="14" xfId="0" applyFont="1" applyFill="1" applyBorder="1" applyAlignment="1">
      <alignment wrapText="1"/>
    </xf>
    <xf numFmtId="0" fontId="25" fillId="0" borderId="0" xfId="0" applyFont="1" applyFill="1" applyBorder="1" applyAlignment="1">
      <alignment wrapText="1"/>
    </xf>
    <xf numFmtId="0" fontId="0" fillId="0" borderId="0" xfId="0" applyBorder="1" applyAlignment="1">
      <alignment wrapText="1"/>
    </xf>
    <xf numFmtId="0" fontId="25" fillId="0" borderId="0" xfId="0" applyFont="1" applyFill="1" applyBorder="1" applyAlignment="1">
      <alignment wrapText="1"/>
    </xf>
    <xf numFmtId="0" fontId="5" fillId="0" borderId="44" xfId="0" applyFont="1" applyFill="1" applyBorder="1" applyAlignment="1">
      <alignment horizontal="center" wrapText="1" shrinkToFit="1"/>
    </xf>
    <xf numFmtId="0" fontId="5" fillId="0" borderId="13" xfId="0" applyFont="1" applyFill="1" applyBorder="1" applyAlignment="1">
      <alignment horizontal="center" wrapText="1" shrinkToFit="1"/>
    </xf>
    <xf numFmtId="0" fontId="5" fillId="0" borderId="4" xfId="0" applyFont="1" applyFill="1" applyBorder="1" applyAlignment="1">
      <alignment horizontal="center" wrapText="1" shrinkToFit="1"/>
    </xf>
    <xf numFmtId="164" fontId="38" fillId="0" borderId="70" xfId="22" applyNumberFormat="1" applyFont="1" applyFill="1" applyBorder="1" applyAlignment="1" applyProtection="1">
      <alignment horizontal="center" wrapText="1"/>
      <protection/>
    </xf>
    <xf numFmtId="164" fontId="38" fillId="0" borderId="71" xfId="22" applyNumberFormat="1" applyFont="1" applyFill="1" applyBorder="1" applyAlignment="1" applyProtection="1">
      <alignment horizontal="center" wrapText="1"/>
      <protection/>
    </xf>
    <xf numFmtId="164" fontId="38" fillId="0" borderId="72" xfId="22" applyNumberFormat="1" applyFont="1" applyFill="1" applyBorder="1" applyAlignment="1" applyProtection="1">
      <alignment horizontal="center" wrapText="1"/>
      <protection/>
    </xf>
    <xf numFmtId="0" fontId="5" fillId="0" borderId="2" xfId="0" applyFont="1" applyFill="1" applyBorder="1" applyAlignment="1">
      <alignment horizontal="center" wrapText="1"/>
    </xf>
    <xf numFmtId="0" fontId="5" fillId="0" borderId="1" xfId="0" applyFont="1" applyFill="1" applyBorder="1" applyAlignment="1">
      <alignment horizontal="center" wrapText="1"/>
    </xf>
    <xf numFmtId="0" fontId="5" fillId="0" borderId="17" xfId="0" applyFont="1" applyFill="1" applyBorder="1" applyAlignment="1">
      <alignment horizontal="center" wrapText="1"/>
    </xf>
    <xf numFmtId="164" fontId="38" fillId="0" borderId="33" xfId="22" applyFont="1" applyFill="1" applyBorder="1" applyAlignment="1">
      <alignment horizontal="center" wrapText="1"/>
      <protection/>
    </xf>
    <xf numFmtId="164" fontId="38" fillId="0" borderId="34" xfId="22" applyFont="1" applyFill="1" applyBorder="1" applyAlignment="1">
      <alignment horizontal="center" wrapText="1"/>
      <protection/>
    </xf>
    <xf numFmtId="164" fontId="38" fillId="0" borderId="73" xfId="22" applyFont="1" applyFill="1" applyBorder="1" applyAlignment="1">
      <alignment horizontal="center" wrapText="1"/>
      <protection/>
    </xf>
    <xf numFmtId="2" fontId="25" fillId="0" borderId="34" xfId="0" applyNumberFormat="1" applyFont="1" applyFill="1" applyBorder="1" applyAlignment="1">
      <alignment wrapText="1"/>
    </xf>
    <xf numFmtId="0" fontId="25" fillId="0" borderId="34" xfId="0" applyFont="1" applyFill="1" applyBorder="1" applyAlignment="1">
      <alignment wrapText="1"/>
    </xf>
    <xf numFmtId="0" fontId="31" fillId="0" borderId="0" xfId="0" applyFont="1" applyAlignment="1">
      <alignment wrapText="1"/>
    </xf>
  </cellXfs>
  <cellStyles count="10">
    <cellStyle name="Normal" xfId="0"/>
    <cellStyle name="Comma" xfId="15"/>
    <cellStyle name="Comma [0]" xfId="16"/>
    <cellStyle name="Currency" xfId="17"/>
    <cellStyle name="Currency [0]" xfId="18"/>
    <cellStyle name="Followed Hyperlink" xfId="19"/>
    <cellStyle name="Hyperlink" xfId="20"/>
    <cellStyle name="Normal_FRANK_SS" xfId="21"/>
    <cellStyle name="Normal_NEW_TSK5"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latin typeface="Arial"/>
                <a:ea typeface="Arial"/>
                <a:cs typeface="Arial"/>
              </a:rPr>
              <a:t>Impacts of Recycling and Disposal on GHG (MTCE/Year)</a:t>
            </a:r>
          </a:p>
        </c:rich>
      </c:tx>
      <c:layout/>
      <c:spPr>
        <a:noFill/>
        <a:ln>
          <a:noFill/>
        </a:ln>
      </c:spPr>
    </c:title>
    <c:plotArea>
      <c:layout>
        <c:manualLayout>
          <c:xMode val="edge"/>
          <c:yMode val="edge"/>
          <c:x val="0"/>
          <c:y val="0.14925"/>
          <c:w val="0.977"/>
          <c:h val="0.85"/>
        </c:manualLayout>
      </c:layout>
      <c:barChart>
        <c:barDir val="col"/>
        <c:grouping val="clustered"/>
        <c:varyColors val="0"/>
        <c:ser>
          <c:idx val="0"/>
          <c:order val="0"/>
          <c:spPr>
            <a:solidFill>
              <a:srgbClr val="FFFF99"/>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0"/>
              <c:tx>
                <c:rich>
                  <a:bodyPr vert="horz" rot="0" anchor="ctr"/>
                  <a:lstStyle/>
                  <a:p>
                    <a:pPr algn="ctr">
                      <a:defRPr/>
                    </a:pPr>
                    <a:r>
                      <a:rPr lang="en-US" cap="none" sz="1600" b="1" i="0" u="none" baseline="0">
                        <a:latin typeface="Arial"/>
                        <a:ea typeface="Arial"/>
                        <a:cs typeface="Arial"/>
                      </a:rPr>
                      <a:t>GHG Emissions from Recycling</a:t>
                    </a:r>
                  </a:p>
                </c:rich>
              </c:tx>
              <c:numFmt formatCode="General" sourceLinked="1"/>
              <c:showLegendKey val="0"/>
              <c:showVal val="0"/>
              <c:showBubbleSize val="0"/>
              <c:showCatName val="1"/>
              <c:showSerName val="0"/>
              <c:showPercent val="0"/>
            </c:dLbl>
            <c:dLbl>
              <c:idx val="1"/>
              <c:layout>
                <c:manualLayout>
                  <c:x val="0"/>
                  <c:y val="0"/>
                </c:manualLayout>
              </c:layout>
              <c:tx>
                <c:rich>
                  <a:bodyPr vert="horz" rot="0" anchor="ctr"/>
                  <a:lstStyle/>
                  <a:p>
                    <a:pPr algn="ctr">
                      <a:defRPr/>
                    </a:pPr>
                    <a:r>
                      <a:rPr lang="en-US" cap="none" sz="1600" b="1" i="0" u="none" baseline="0">
                        <a:latin typeface="Arial"/>
                        <a:ea typeface="Arial"/>
                        <a:cs typeface="Arial"/>
                      </a:rPr>
                      <a:t>GHG Emissions if Recyclables had been Disposed</a:t>
                    </a:r>
                  </a:p>
                </c:rich>
              </c:tx>
              <c:numFmt formatCode="General" sourceLinked="1"/>
              <c:showLegendKey val="0"/>
              <c:showVal val="0"/>
              <c:showBubbleSize val="0"/>
              <c:showCatName val="1"/>
              <c:showSerName val="0"/>
              <c:showPercent val="0"/>
            </c:dLbl>
            <c:dLbl>
              <c:idx val="2"/>
              <c:tx>
                <c:rich>
                  <a:bodyPr vert="horz" rot="0" anchor="ctr"/>
                  <a:lstStyle/>
                  <a:p>
                    <a:pPr algn="ctr">
                      <a:defRPr/>
                    </a:pPr>
                    <a:r>
                      <a:rPr lang="en-US" cap="none" sz="1600" b="1" i="0" u="none" baseline="0">
                        <a:latin typeface="Arial"/>
                        <a:ea typeface="Arial"/>
                        <a:cs typeface="Arial"/>
                      </a:rPr>
                      <a:t>Net GHG Emissions Reduction from Recycling vs. Disposal*</a:t>
                    </a:r>
                  </a:p>
                </c:rich>
              </c:tx>
              <c:numFmt formatCode="General" sourceLinked="1"/>
              <c:showLegendKey val="0"/>
              <c:showVal val="0"/>
              <c:showBubbleSize val="0"/>
              <c:showCatName val="1"/>
              <c:showSerName val="0"/>
              <c:showPercent val="0"/>
            </c:dLbl>
            <c:numFmt formatCode="General" sourceLinked="1"/>
            <c:txPr>
              <a:bodyPr vert="horz" rot="0" anchor="ctr"/>
              <a:lstStyle/>
              <a:p>
                <a:pPr algn="ctr">
                  <a:defRPr lang="en-US" cap="none" sz="1600" b="1" i="0" u="none" baseline="0">
                    <a:latin typeface="Arial"/>
                    <a:ea typeface="Arial"/>
                    <a:cs typeface="Arial"/>
                  </a:defRPr>
                </a:pPr>
              </a:p>
            </c:txPr>
            <c:showLegendKey val="0"/>
            <c:showVal val="0"/>
            <c:showBubbleSize val="0"/>
            <c:showCatName val="1"/>
            <c:showSerName val="0"/>
            <c:showPercent val="0"/>
          </c:dLbls>
          <c:cat>
            <c:strRef>
              <c:f>'Wksht 4. Calculations'!$A$46:$A$48</c:f>
              <c:strCache>
                <c:ptCount val="3"/>
                <c:pt idx="0">
                  <c:v>GHG Emissions from Recycling</c:v>
                </c:pt>
                <c:pt idx="1">
                  <c:v>GHG Emissions from Disposal</c:v>
                </c:pt>
                <c:pt idx="2">
                  <c:v>GHG Benefit of Recycling (vs. Disposal)</c:v>
                </c:pt>
              </c:strCache>
            </c:strRef>
          </c:cat>
          <c:val>
            <c:numRef>
              <c:f>'Wksht 4. Calculations'!$B$46:$B$48</c:f>
              <c:numCache>
                <c:ptCount val="3"/>
                <c:pt idx="0">
                  <c:v>-2881412.36511443</c:v>
                </c:pt>
                <c:pt idx="1">
                  <c:v>0</c:v>
                </c:pt>
                <c:pt idx="2">
                  <c:v>0</c:v>
                </c:pt>
              </c:numCache>
            </c:numRef>
          </c:val>
        </c:ser>
        <c:axId val="61304528"/>
        <c:axId val="14869841"/>
      </c:barChart>
      <c:dateAx>
        <c:axId val="61304528"/>
        <c:scaling>
          <c:orientation val="minMax"/>
        </c:scaling>
        <c:axPos val="b"/>
        <c:delete val="1"/>
        <c:majorTickMark val="out"/>
        <c:minorTickMark val="none"/>
        <c:tickLblPos val="nextTo"/>
        <c:crossAx val="14869841"/>
        <c:crosses val="autoZero"/>
        <c:auto val="0"/>
        <c:noMultiLvlLbl val="0"/>
      </c:dateAx>
      <c:valAx>
        <c:axId val="14869841"/>
        <c:scaling>
          <c:orientation val="minMax"/>
        </c:scaling>
        <c:axPos val="l"/>
        <c:delete val="0"/>
        <c:numFmt formatCode="General" sourceLinked="1"/>
        <c:majorTickMark val="out"/>
        <c:minorTickMark val="none"/>
        <c:tickLblPos val="nextTo"/>
        <c:txPr>
          <a:bodyPr/>
          <a:lstStyle/>
          <a:p>
            <a:pPr>
              <a:defRPr lang="en-US" cap="none" sz="1600" b="0" i="0" u="none" baseline="0">
                <a:latin typeface="Arial"/>
                <a:ea typeface="Arial"/>
                <a:cs typeface="Arial"/>
              </a:defRPr>
            </a:pPr>
          </a:p>
        </c:txPr>
        <c:crossAx val="61304528"/>
        <c:crossesAt val="1"/>
        <c:crossBetween val="between"/>
        <c:dispUnits/>
      </c:valAx>
      <c:spPr>
        <a:solidFill>
          <a:srgbClr val="FFFFFF"/>
        </a:solidFill>
        <a:ln w="3175">
          <a:noFill/>
        </a:ln>
      </c:spPr>
    </c:plotArea>
    <c:plotVisOnly val="1"/>
    <c:dispBlanksAs val="gap"/>
    <c:showDLblsOverMax val="0"/>
  </c:chart>
  <c:txPr>
    <a:bodyPr vert="horz" rot="0"/>
    <a:lstStyle/>
    <a:p>
      <a:pPr>
        <a:defRPr lang="en-US" cap="none" sz="1850" b="0" i="0" u="none" baseline="0">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latin typeface="Arial"/>
                <a:ea typeface="Arial"/>
                <a:cs typeface="Arial"/>
              </a:rPr>
              <a:t>Materials Management Overview</a:t>
            </a:r>
          </a:p>
        </c:rich>
      </c:tx>
      <c:layout/>
      <c:spPr>
        <a:noFill/>
        <a:ln>
          <a:noFill/>
        </a:ln>
      </c:spPr>
    </c:title>
    <c:plotArea>
      <c:layout>
        <c:manualLayout>
          <c:xMode val="edge"/>
          <c:yMode val="edge"/>
          <c:x val="0.369"/>
          <c:y val="0.4985"/>
          <c:w val="0.22525"/>
          <c:h val="0.2202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dPt>
          <c:dLbls>
            <c:dLbl>
              <c:idx val="0"/>
              <c:layout>
                <c:manualLayout>
                  <c:x val="0"/>
                  <c:y val="0"/>
                </c:manualLayout>
              </c:layout>
              <c:txPr>
                <a:bodyPr vert="horz" rot="0" anchor="ctr"/>
                <a:lstStyle/>
                <a:p>
                  <a:pPr algn="ctr">
                    <a:defRPr lang="en-US" cap="none" sz="1400" b="1" i="0" u="none" baseline="0">
                      <a:latin typeface="Arial"/>
                      <a:ea typeface="Arial"/>
                      <a:cs typeface="Arial"/>
                    </a:defRPr>
                  </a:pPr>
                </a:p>
              </c:txPr>
              <c:numFmt formatCode="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400" b="1" i="0" u="none" baseline="0">
                      <a:latin typeface="Arial"/>
                      <a:ea typeface="Arial"/>
                      <a:cs typeface="Arial"/>
                    </a:defRPr>
                  </a:pPr>
                </a:p>
              </c:txPr>
              <c:numFmt formatCode="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1400" b="1" i="0" u="none" baseline="0">
                      <a:latin typeface="Arial"/>
                      <a:ea typeface="Arial"/>
                      <a:cs typeface="Arial"/>
                    </a:defRPr>
                  </a:pPr>
                </a:p>
              </c:txPr>
              <c:numFmt formatCode="0%" sourceLinked="0"/>
              <c:showLegendKey val="0"/>
              <c:showVal val="0"/>
              <c:showBubbleSize val="0"/>
              <c:showCatName val="1"/>
              <c:showSerName val="0"/>
              <c:showPercent val="1"/>
            </c:dLbl>
            <c:numFmt formatCode="0%" sourceLinked="0"/>
            <c:txPr>
              <a:bodyPr vert="horz" rot="0" anchor="ctr"/>
              <a:lstStyle/>
              <a:p>
                <a:pPr algn="ctr">
                  <a:defRPr lang="en-US" cap="none" sz="1400" b="1" i="0" u="none" baseline="0">
                    <a:latin typeface="Arial"/>
                    <a:ea typeface="Arial"/>
                    <a:cs typeface="Arial"/>
                  </a:defRPr>
                </a:pPr>
              </a:p>
            </c:txPr>
            <c:showLegendKey val="0"/>
            <c:showVal val="0"/>
            <c:showBubbleSize val="0"/>
            <c:showCatName val="1"/>
            <c:showSerName val="0"/>
            <c:showLeaderLines val="1"/>
            <c:showPercent val="1"/>
          </c:dLbls>
          <c:cat>
            <c:strRef>
              <c:f>'Wksht 4. Calculations'!$A$9:$A$11</c:f>
              <c:strCache>
                <c:ptCount val="3"/>
                <c:pt idx="0">
                  <c:v>Recycled</c:v>
                </c:pt>
                <c:pt idx="1">
                  <c:v>Landfill</c:v>
                </c:pt>
                <c:pt idx="2">
                  <c:v>Incineration/ Waste-To-Energy</c:v>
                </c:pt>
              </c:strCache>
            </c:strRef>
          </c:cat>
          <c:val>
            <c:numRef>
              <c:f>'Wksht 4. Calculations'!$B$9:$B$11</c:f>
              <c:numCache>
                <c:ptCount val="3"/>
                <c:pt idx="0">
                  <c:v>4006785</c:v>
                </c:pt>
                <c:pt idx="1">
                  <c:v>0</c:v>
                </c:pt>
                <c:pt idx="2">
                  <c:v>0</c:v>
                </c:pt>
              </c:numCache>
            </c:numRef>
          </c:val>
        </c:ser>
      </c:pieChart>
      <c:spPr>
        <a:noFill/>
        <a:ln>
          <a:noFill/>
        </a:ln>
      </c:spPr>
    </c:plotArea>
    <c:plotVisOnly val="1"/>
    <c:dispBlanksAs val="gap"/>
    <c:showDLblsOverMax val="0"/>
  </c:chart>
  <c:txPr>
    <a:bodyPr vert="horz" rot="0"/>
    <a:lstStyle/>
    <a:p>
      <a:pPr>
        <a:defRPr lang="en-US" cap="none" sz="1825" b="0" i="0" u="none" baseline="0">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latin typeface="Arial"/>
                <a:ea typeface="Arial"/>
                <a:cs typeface="Arial"/>
              </a:rPr>
              <a:t>Amount of Materials Recycled 
(x1,000 Tons)</a:t>
            </a:r>
          </a:p>
        </c:rich>
      </c:tx>
      <c:layout/>
      <c:spPr>
        <a:noFill/>
        <a:ln>
          <a:noFill/>
        </a:ln>
      </c:spPr>
    </c:title>
    <c:plotArea>
      <c:layout>
        <c:manualLayout>
          <c:xMode val="edge"/>
          <c:yMode val="edge"/>
          <c:x val="0.052"/>
          <c:y val="0.079"/>
          <c:w val="0.946"/>
          <c:h val="0.846"/>
        </c:manualLayout>
      </c:layout>
      <c:barChart>
        <c:barDir val="col"/>
        <c:grouping val="clustered"/>
        <c:varyColors val="0"/>
        <c:ser>
          <c:idx val="0"/>
          <c:order val="0"/>
          <c:spPr>
            <a:solidFill>
              <a:srgbClr val="FFFF99"/>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400" b="1" i="0" u="none" baseline="0">
                    <a:latin typeface="Arial"/>
                    <a:ea typeface="Arial"/>
                    <a:cs typeface="Arial"/>
                  </a:defRPr>
                </a:pPr>
              </a:p>
            </c:txPr>
            <c:showLegendKey val="0"/>
            <c:showVal val="1"/>
            <c:showBubbleSize val="0"/>
            <c:showCatName val="0"/>
            <c:showSerName val="0"/>
            <c:showPercent val="0"/>
          </c:dLbls>
          <c:cat>
            <c:strRef>
              <c:f>'Wksht 4. Calculations'!$A$19:$A$24</c:f>
              <c:strCache>
                <c:ptCount val="6"/>
                <c:pt idx="0">
                  <c:v>Paper</c:v>
                </c:pt>
                <c:pt idx="1">
                  <c:v>Glass</c:v>
                </c:pt>
                <c:pt idx="2">
                  <c:v>Metal</c:v>
                </c:pt>
                <c:pt idx="3">
                  <c:v>Plastic</c:v>
                </c:pt>
                <c:pt idx="4">
                  <c:v>Organics</c:v>
                </c:pt>
                <c:pt idx="5">
                  <c:v>Other</c:v>
                </c:pt>
              </c:strCache>
            </c:strRef>
          </c:cat>
          <c:val>
            <c:numRef>
              <c:f>'Wksht 4. Calculations'!$B$19:$B$24</c:f>
              <c:numCache>
                <c:ptCount val="6"/>
                <c:pt idx="0">
                  <c:v>2201.118</c:v>
                </c:pt>
                <c:pt idx="1">
                  <c:v>234.629</c:v>
                </c:pt>
                <c:pt idx="2">
                  <c:v>508.702</c:v>
                </c:pt>
                <c:pt idx="3">
                  <c:v>1062.336</c:v>
                </c:pt>
                <c:pt idx="4">
                  <c:v>0</c:v>
                </c:pt>
                <c:pt idx="5">
                  <c:v>0</c:v>
                </c:pt>
              </c:numCache>
            </c:numRef>
          </c:val>
        </c:ser>
        <c:axId val="11047082"/>
        <c:axId val="32314875"/>
      </c:barChart>
      <c:catAx>
        <c:axId val="11047082"/>
        <c:scaling>
          <c:orientation val="minMax"/>
        </c:scaling>
        <c:axPos val="b"/>
        <c:delete val="0"/>
        <c:numFmt formatCode="General" sourceLinked="1"/>
        <c:majorTickMark val="out"/>
        <c:minorTickMark val="none"/>
        <c:tickLblPos val="nextTo"/>
        <c:txPr>
          <a:bodyPr/>
          <a:lstStyle/>
          <a:p>
            <a:pPr>
              <a:defRPr lang="en-US" cap="none" sz="1400" b="1" i="0" u="none" baseline="0">
                <a:latin typeface="Arial"/>
                <a:ea typeface="Arial"/>
                <a:cs typeface="Arial"/>
              </a:defRPr>
            </a:pPr>
          </a:p>
        </c:txPr>
        <c:crossAx val="32314875"/>
        <c:crosses val="autoZero"/>
        <c:auto val="1"/>
        <c:lblOffset val="100"/>
        <c:noMultiLvlLbl val="0"/>
      </c:catAx>
      <c:valAx>
        <c:axId val="32314875"/>
        <c:scaling>
          <c:orientation val="minMax"/>
        </c:scaling>
        <c:axPos val="l"/>
        <c:delete val="1"/>
        <c:majorTickMark val="out"/>
        <c:minorTickMark val="none"/>
        <c:tickLblPos val="nextTo"/>
        <c:crossAx val="11047082"/>
        <c:crossesAt val="1"/>
        <c:crossBetween val="between"/>
        <c:dispUnits/>
      </c:valAx>
      <c:spPr>
        <a:solidFill>
          <a:srgbClr val="FFFFFF"/>
        </a:solidFill>
        <a:ln w="12700">
          <a:solidFill>
            <a:srgbClr val="FFFFFF"/>
          </a:solidFill>
        </a:ln>
      </c:spPr>
    </c:plotArea>
    <c:plotVisOnly val="1"/>
    <c:dispBlanksAs val="gap"/>
    <c:showDLblsOverMax val="0"/>
  </c:chart>
  <c:txPr>
    <a:bodyPr vert="horz" rot="0"/>
    <a:lstStyle/>
    <a:p>
      <a:pPr>
        <a:defRPr lang="en-US" cap="none" sz="1675" b="0" i="0" u="none" baseline="0">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latin typeface="Arial"/>
                <a:ea typeface="Arial"/>
                <a:cs typeface="Arial"/>
              </a:rPr>
              <a:t>Amount of Materials Source Reduced &amp; Reused (x1,000 Tons)</a:t>
            </a:r>
          </a:p>
        </c:rich>
      </c:tx>
      <c:layout>
        <c:manualLayout>
          <c:xMode val="factor"/>
          <c:yMode val="factor"/>
          <c:x val="0"/>
          <c:y val="-0.00475"/>
        </c:manualLayout>
      </c:layout>
      <c:spPr>
        <a:noFill/>
        <a:ln>
          <a:noFill/>
        </a:ln>
      </c:spPr>
    </c:title>
    <c:plotArea>
      <c:layout>
        <c:manualLayout>
          <c:xMode val="edge"/>
          <c:yMode val="edge"/>
          <c:x val="0.0175"/>
          <c:y val="0.3425"/>
          <c:w val="0.96225"/>
          <c:h val="0.57725"/>
        </c:manualLayout>
      </c:layout>
      <c:barChart>
        <c:barDir val="col"/>
        <c:grouping val="clustered"/>
        <c:varyColors val="0"/>
        <c:ser>
          <c:idx val="0"/>
          <c:order val="0"/>
          <c:tx>
            <c:strRef>
              <c:f>'Wksht 4. Calculations'!$B$27</c:f>
              <c:strCache>
                <c:ptCount val="1"/>
                <c:pt idx="0">
                  <c:v>Amount Source Reduced &amp; Reused (x1,000 Tons)</c:v>
                </c:pt>
              </c:strCache>
            </c:strRef>
          </c:tx>
          <c:spPr>
            <a:solidFill>
              <a:srgbClr val="FFFF99"/>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400" b="1" i="0" u="none" baseline="0">
                    <a:latin typeface="Arial"/>
                    <a:ea typeface="Arial"/>
                    <a:cs typeface="Arial"/>
                  </a:defRPr>
                </a:pPr>
              </a:p>
            </c:txPr>
            <c:showLegendKey val="0"/>
            <c:showVal val="1"/>
            <c:showBubbleSize val="0"/>
            <c:showCatName val="0"/>
            <c:showSerName val="0"/>
            <c:showPercent val="0"/>
          </c:dLbls>
          <c:cat>
            <c:strRef>
              <c:f>'Wksht 4. Calculations'!$A$28:$A$32</c:f>
              <c:strCache>
                <c:ptCount val="5"/>
                <c:pt idx="0">
                  <c:v>Paper</c:v>
                </c:pt>
                <c:pt idx="1">
                  <c:v>Glass</c:v>
                </c:pt>
                <c:pt idx="2">
                  <c:v>Metal</c:v>
                </c:pt>
                <c:pt idx="3">
                  <c:v>Plastic</c:v>
                </c:pt>
                <c:pt idx="4">
                  <c:v>Other</c:v>
                </c:pt>
              </c:strCache>
            </c:strRef>
          </c:cat>
          <c:val>
            <c:numRef>
              <c:f>'Wksht 4. Calculations'!$B$28:$B$32</c:f>
              <c:numCache>
                <c:ptCount val="5"/>
                <c:pt idx="0">
                  <c:v>0</c:v>
                </c:pt>
                <c:pt idx="1">
                  <c:v>0</c:v>
                </c:pt>
                <c:pt idx="2">
                  <c:v>0</c:v>
                </c:pt>
                <c:pt idx="3">
                  <c:v>0</c:v>
                </c:pt>
                <c:pt idx="4">
                  <c:v>0</c:v>
                </c:pt>
              </c:numCache>
            </c:numRef>
          </c:val>
        </c:ser>
        <c:axId val="22398420"/>
        <c:axId val="259189"/>
      </c:barChart>
      <c:catAx>
        <c:axId val="22398420"/>
        <c:scaling>
          <c:orientation val="minMax"/>
        </c:scaling>
        <c:axPos val="b"/>
        <c:delete val="0"/>
        <c:numFmt formatCode="General" sourceLinked="1"/>
        <c:majorTickMark val="out"/>
        <c:minorTickMark val="none"/>
        <c:tickLblPos val="nextTo"/>
        <c:txPr>
          <a:bodyPr/>
          <a:lstStyle/>
          <a:p>
            <a:pPr>
              <a:defRPr lang="en-US" cap="none" sz="1400" b="1" i="0" u="none" baseline="0">
                <a:latin typeface="Arial"/>
                <a:ea typeface="Arial"/>
                <a:cs typeface="Arial"/>
              </a:defRPr>
            </a:pPr>
          </a:p>
        </c:txPr>
        <c:crossAx val="259189"/>
        <c:crosses val="autoZero"/>
        <c:auto val="1"/>
        <c:lblOffset val="100"/>
        <c:noMultiLvlLbl val="0"/>
      </c:catAx>
      <c:valAx>
        <c:axId val="259189"/>
        <c:scaling>
          <c:orientation val="minMax"/>
        </c:scaling>
        <c:axPos val="l"/>
        <c:delete val="1"/>
        <c:majorTickMark val="out"/>
        <c:minorTickMark val="none"/>
        <c:tickLblPos val="nextTo"/>
        <c:crossAx val="22398420"/>
        <c:crossesAt val="1"/>
        <c:crossBetween val="between"/>
        <c:dispUnits/>
      </c:valAx>
      <c:spPr>
        <a:noFill/>
        <a:ln>
          <a:noFill/>
        </a:ln>
      </c:spPr>
    </c:plotArea>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latin typeface="Arial"/>
                <a:ea typeface="Arial"/>
                <a:cs typeface="Arial"/>
              </a:rPr>
              <a:t>How is Waste Diverted?</a:t>
            </a:r>
          </a:p>
        </c:rich>
      </c:tx>
      <c:layout/>
      <c:spPr>
        <a:noFill/>
        <a:ln>
          <a:noFill/>
        </a:ln>
      </c:spPr>
    </c:title>
    <c:plotArea>
      <c:layout>
        <c:manualLayout>
          <c:xMode val="edge"/>
          <c:yMode val="edge"/>
          <c:x val="0.38325"/>
          <c:y val="0.35725"/>
          <c:w val="0.231"/>
          <c:h val="0.2955"/>
        </c:manualLayout>
      </c:layout>
      <c:pieChart>
        <c:varyColors val="1"/>
        <c:ser>
          <c:idx val="0"/>
          <c:order val="0"/>
          <c:tx>
            <c:strRef>
              <c:f>'Wksht 4. Calculations'!$B$35</c:f>
              <c:strCache>
                <c:ptCount val="1"/>
                <c:pt idx="0">
                  <c:v>Amount (Tons)</c:v>
                </c:pt>
              </c:strCache>
            </c:strRef>
          </c:tx>
          <c:explosion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1400" b="1" i="0" u="none" baseline="0">
                      <a:latin typeface="Arial"/>
                      <a:ea typeface="Arial"/>
                      <a:cs typeface="Arial"/>
                    </a:defRPr>
                  </a:pPr>
                </a:p>
              </c:txPr>
              <c:numFmt formatCode="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400" b="1" i="0" u="none" baseline="0">
                      <a:latin typeface="Arial"/>
                      <a:ea typeface="Arial"/>
                      <a:cs typeface="Arial"/>
                    </a:defRPr>
                  </a:pPr>
                </a:p>
              </c:txPr>
              <c:numFmt formatCode="0%" sourceLinked="0"/>
              <c:showLegendKey val="0"/>
              <c:showVal val="0"/>
              <c:showBubbleSize val="0"/>
              <c:showCatName val="1"/>
              <c:showSerName val="0"/>
              <c:showPercent val="1"/>
            </c:dLbl>
            <c:numFmt formatCode="0%" sourceLinked="0"/>
            <c:txPr>
              <a:bodyPr vert="horz" rot="0" anchor="ctr"/>
              <a:lstStyle/>
              <a:p>
                <a:pPr algn="ctr">
                  <a:defRPr lang="en-US" cap="none" sz="1400" b="1" i="0" u="none" baseline="0">
                    <a:latin typeface="Arial"/>
                    <a:ea typeface="Arial"/>
                    <a:cs typeface="Arial"/>
                  </a:defRPr>
                </a:pPr>
              </a:p>
            </c:txPr>
            <c:showLegendKey val="0"/>
            <c:showVal val="0"/>
            <c:showBubbleSize val="0"/>
            <c:showCatName val="1"/>
            <c:showSerName val="0"/>
            <c:showLeaderLines val="1"/>
            <c:showPercent val="1"/>
          </c:dLbls>
          <c:cat>
            <c:strRef>
              <c:f>'Wksht 4. Calculations'!$A$36:$A$37</c:f>
              <c:strCache>
                <c:ptCount val="2"/>
                <c:pt idx="0">
                  <c:v>Recycled</c:v>
                </c:pt>
                <c:pt idx="1">
                  <c:v>Source Reduced and Reused</c:v>
                </c:pt>
              </c:strCache>
            </c:strRef>
          </c:cat>
          <c:val>
            <c:numRef>
              <c:f>'Wksht 4. Calculations'!$B$36:$B$37</c:f>
              <c:numCache>
                <c:ptCount val="2"/>
                <c:pt idx="0">
                  <c:v>4006785</c:v>
                </c:pt>
                <c:pt idx="1">
                  <c:v>0</c:v>
                </c:pt>
              </c:numCache>
            </c:numRef>
          </c:val>
        </c:ser>
      </c:pieChart>
      <c:spPr>
        <a:noFill/>
        <a:ln>
          <a:noFill/>
        </a:ln>
      </c:spPr>
    </c:plotArea>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latin typeface="Arial"/>
                <a:ea typeface="Arial"/>
                <a:cs typeface="Arial"/>
              </a:rPr>
              <a:t>Impacts of Source Reduction/Reused and Disposal on GHG (MTCE/Year)</a:t>
            </a:r>
          </a:p>
        </c:rich>
      </c:tx>
      <c:layout/>
      <c:spPr>
        <a:noFill/>
        <a:ln>
          <a:noFill/>
        </a:ln>
      </c:spPr>
    </c:title>
    <c:plotArea>
      <c:layout/>
      <c:barChart>
        <c:barDir val="col"/>
        <c:grouping val="clustered"/>
        <c:varyColors val="0"/>
        <c:ser>
          <c:idx val="0"/>
          <c:order val="0"/>
          <c:tx>
            <c:strRef>
              <c:f>'Wksht 4. Calculations'!$B$40</c:f>
              <c:strCache>
                <c:ptCount val="1"/>
                <c:pt idx="0">
                  <c:v>MTCE</c:v>
                </c:pt>
              </c:strCache>
            </c:strRef>
          </c:tx>
          <c:spPr>
            <a:solidFill>
              <a:srgbClr val="FFFF99"/>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0"/>
              <c:tx>
                <c:rich>
                  <a:bodyPr vert="horz" rot="0" anchor="ctr"/>
                  <a:lstStyle/>
                  <a:p>
                    <a:pPr algn="ctr">
                      <a:defRPr/>
                    </a:pPr>
                    <a:r>
                      <a:rPr lang="en-US" cap="none" sz="1600" b="1" i="0" u="none" baseline="0">
                        <a:latin typeface="Arial"/>
                        <a:ea typeface="Arial"/>
                        <a:cs typeface="Arial"/>
                      </a:rPr>
                      <a:t>GHG Emissions from Source Reduction &amp; Reuse</a:t>
                    </a:r>
                  </a:p>
                </c:rich>
              </c:tx>
              <c:numFmt formatCode="General" sourceLinked="1"/>
              <c:showLegendKey val="0"/>
              <c:showVal val="0"/>
              <c:showBubbleSize val="0"/>
              <c:showCatName val="1"/>
              <c:showSerName val="0"/>
              <c:showPercent val="0"/>
            </c:dLbl>
            <c:dLbl>
              <c:idx val="1"/>
              <c:tx>
                <c:rich>
                  <a:bodyPr vert="horz" rot="0" anchor="ctr"/>
                  <a:lstStyle/>
                  <a:p>
                    <a:pPr algn="ctr">
                      <a:defRPr/>
                    </a:pPr>
                    <a:r>
                      <a:rPr lang="en-US" cap="none" sz="1600" b="1" i="0" u="none" baseline="0">
                        <a:latin typeface="Arial"/>
                        <a:ea typeface="Arial"/>
                        <a:cs typeface="Arial"/>
                      </a:rPr>
                      <a:t>GHG Emissions if Items had been Disposal</a:t>
                    </a:r>
                  </a:p>
                </c:rich>
              </c:tx>
              <c:numFmt formatCode="General" sourceLinked="1"/>
              <c:showLegendKey val="0"/>
              <c:showVal val="0"/>
              <c:showBubbleSize val="0"/>
              <c:showCatName val="1"/>
              <c:showSerName val="0"/>
              <c:showPercent val="0"/>
            </c:dLbl>
            <c:dLbl>
              <c:idx val="2"/>
              <c:tx>
                <c:rich>
                  <a:bodyPr vert="horz" rot="0" anchor="ctr"/>
                  <a:lstStyle/>
                  <a:p>
                    <a:pPr algn="ctr">
                      <a:defRPr/>
                    </a:pPr>
                    <a:r>
                      <a:rPr lang="en-US" cap="none" sz="1600" b="1" i="0" u="none" baseline="0">
                        <a:latin typeface="Arial"/>
                        <a:ea typeface="Arial"/>
                        <a:cs typeface="Arial"/>
                      </a:rPr>
                      <a:t>Net GHG Emissions Reduction from Source Reduction &amp; Reuse vs. Disposal*</a:t>
                    </a:r>
                  </a:p>
                </c:rich>
              </c:tx>
              <c:numFmt formatCode="General" sourceLinked="1"/>
              <c:showLegendKey val="0"/>
              <c:showVal val="0"/>
              <c:showBubbleSize val="0"/>
              <c:showCatName val="1"/>
              <c:showSerName val="0"/>
              <c:showPercent val="0"/>
            </c:dLbl>
            <c:numFmt formatCode="General" sourceLinked="1"/>
            <c:txPr>
              <a:bodyPr vert="horz" rot="0" anchor="ctr"/>
              <a:lstStyle/>
              <a:p>
                <a:pPr algn="ctr">
                  <a:defRPr lang="en-US" cap="none" sz="1600" b="1" i="0" u="none" baseline="0">
                    <a:latin typeface="Arial"/>
                    <a:ea typeface="Arial"/>
                    <a:cs typeface="Arial"/>
                  </a:defRPr>
                </a:pPr>
              </a:p>
            </c:txPr>
            <c:showLegendKey val="0"/>
            <c:showVal val="0"/>
            <c:showBubbleSize val="0"/>
            <c:showCatName val="1"/>
            <c:showSerName val="0"/>
            <c:showPercent val="0"/>
          </c:dLbls>
          <c:cat>
            <c:strRef>
              <c:f>'Wksht 4. Calculations'!$A$41:$A$43</c:f>
              <c:strCache>
                <c:ptCount val="3"/>
                <c:pt idx="0">
                  <c:v>GHG Emissions from Source Reduction and Reuse</c:v>
                </c:pt>
                <c:pt idx="1">
                  <c:v>GHG Emissions from Disposal</c:v>
                </c:pt>
                <c:pt idx="2">
                  <c:v>GHG Benefit of Source Reduction and Reuse (vs. Disposal)</c:v>
                </c:pt>
              </c:strCache>
            </c:strRef>
          </c:cat>
          <c:val>
            <c:numRef>
              <c:f>'Wksht 4. Calculations'!$B$41:$B$43</c:f>
              <c:numCache>
                <c:ptCount val="3"/>
                <c:pt idx="0">
                  <c:v>0</c:v>
                </c:pt>
                <c:pt idx="1">
                  <c:v>0</c:v>
                </c:pt>
                <c:pt idx="2">
                  <c:v>0</c:v>
                </c:pt>
              </c:numCache>
            </c:numRef>
          </c:val>
        </c:ser>
        <c:axId val="2332702"/>
        <c:axId val="20994319"/>
      </c:barChart>
      <c:dateAx>
        <c:axId val="2332702"/>
        <c:scaling>
          <c:orientation val="minMax"/>
        </c:scaling>
        <c:axPos val="b"/>
        <c:delete val="1"/>
        <c:majorTickMark val="out"/>
        <c:minorTickMark val="none"/>
        <c:tickLblPos val="nextTo"/>
        <c:txPr>
          <a:bodyPr/>
          <a:lstStyle/>
          <a:p>
            <a:pPr>
              <a:defRPr lang="en-US" cap="none" sz="2275" b="1" i="0" u="none" baseline="0">
                <a:latin typeface="Arial"/>
                <a:ea typeface="Arial"/>
                <a:cs typeface="Arial"/>
              </a:defRPr>
            </a:pPr>
          </a:p>
        </c:txPr>
        <c:crossAx val="20994319"/>
        <c:crosses val="autoZero"/>
        <c:auto val="0"/>
        <c:noMultiLvlLbl val="0"/>
      </c:dateAx>
      <c:valAx>
        <c:axId val="20994319"/>
        <c:scaling>
          <c:orientation val="minMax"/>
        </c:scaling>
        <c:axPos val="l"/>
        <c:delete val="0"/>
        <c:numFmt formatCode="General" sourceLinked="1"/>
        <c:majorTickMark val="out"/>
        <c:minorTickMark val="none"/>
        <c:tickLblPos val="nextTo"/>
        <c:txPr>
          <a:bodyPr/>
          <a:lstStyle/>
          <a:p>
            <a:pPr>
              <a:defRPr lang="en-US" cap="none" sz="1600" b="0" i="0" u="none" baseline="0">
                <a:latin typeface="Arial"/>
                <a:ea typeface="Arial"/>
                <a:cs typeface="Arial"/>
              </a:defRPr>
            </a:pPr>
          </a:p>
        </c:txPr>
        <c:crossAx val="2332702"/>
        <c:crossesAt val="1"/>
        <c:crossBetween val="between"/>
        <c:dispUnits/>
      </c:valAx>
      <c:spPr>
        <a:noFill/>
        <a:ln>
          <a:noFill/>
        </a:ln>
      </c:spPr>
    </c:plotArea>
    <c:plotVisOnly val="1"/>
    <c:dispBlanksAs val="gap"/>
    <c:showDLblsOverMax val="0"/>
  </c:chart>
  <c:txPr>
    <a:bodyPr vert="horz" rot="0"/>
    <a:lstStyle/>
    <a:p>
      <a:pPr>
        <a:defRPr lang="en-US" cap="none" sz="2475" b="0" i="0" u="none" baseline="0">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latin typeface="Arial"/>
                <a:ea typeface="Arial"/>
                <a:cs typeface="Arial"/>
              </a:rPr>
              <a:t>Impacts of Source Reduction/Reuse and Disposal on Energy Use 
(Million BTU/Year)</a:t>
            </a:r>
          </a:p>
        </c:rich>
      </c:tx>
      <c:layout>
        <c:manualLayout>
          <c:xMode val="factor"/>
          <c:yMode val="factor"/>
          <c:x val="0.00525"/>
          <c:y val="-0.00125"/>
        </c:manualLayout>
      </c:layout>
      <c:spPr>
        <a:noFill/>
        <a:ln>
          <a:noFill/>
        </a:ln>
      </c:spPr>
    </c:title>
    <c:plotArea>
      <c:layout>
        <c:manualLayout>
          <c:xMode val="edge"/>
          <c:yMode val="edge"/>
          <c:x val="0.012"/>
          <c:y val="0.131"/>
          <c:w val="0.976"/>
          <c:h val="0.75575"/>
        </c:manualLayout>
      </c:layout>
      <c:barChart>
        <c:barDir val="col"/>
        <c:grouping val="clustered"/>
        <c:varyColors val="0"/>
        <c:ser>
          <c:idx val="0"/>
          <c:order val="0"/>
          <c:spPr>
            <a:solidFill>
              <a:srgbClr val="FFFF99"/>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0"/>
              <c:tx>
                <c:rich>
                  <a:bodyPr vert="horz" rot="0" anchor="ctr"/>
                  <a:lstStyle/>
                  <a:p>
                    <a:pPr algn="ctr">
                      <a:defRPr/>
                    </a:pPr>
                    <a:r>
                      <a:rPr lang="en-US" cap="none" sz="1600" b="1" i="0" u="none" baseline="0">
                        <a:latin typeface="Arial"/>
                        <a:ea typeface="Arial"/>
                        <a:cs typeface="Arial"/>
                      </a:rPr>
                      <a:t>Energy Use from Source Reduction &amp; Reuse</a:t>
                    </a:r>
                  </a:p>
                </c:rich>
              </c:tx>
              <c:numFmt formatCode="General" sourceLinked="1"/>
              <c:showLegendKey val="0"/>
              <c:showVal val="0"/>
              <c:showBubbleSize val="0"/>
              <c:showCatName val="1"/>
              <c:showSerName val="0"/>
              <c:showPercent val="0"/>
            </c:dLbl>
            <c:dLbl>
              <c:idx val="1"/>
              <c:tx>
                <c:rich>
                  <a:bodyPr vert="horz" rot="0" anchor="ctr"/>
                  <a:lstStyle/>
                  <a:p>
                    <a:pPr algn="ctr">
                      <a:defRPr/>
                    </a:pPr>
                    <a:r>
                      <a:rPr lang="en-US" cap="none" sz="1600" b="1" i="0" u="none" baseline="0">
                        <a:latin typeface="Arial"/>
                        <a:ea typeface="Arial"/>
                        <a:cs typeface="Arial"/>
                      </a:rPr>
                      <a:t>Energy Use if Items had been Disposed</a:t>
                    </a:r>
                  </a:p>
                </c:rich>
              </c:tx>
              <c:numFmt formatCode="General" sourceLinked="1"/>
              <c:showLegendKey val="0"/>
              <c:showVal val="0"/>
              <c:showBubbleSize val="0"/>
              <c:showCatName val="1"/>
              <c:showSerName val="0"/>
              <c:showPercent val="0"/>
            </c:dLbl>
            <c:dLbl>
              <c:idx val="2"/>
              <c:tx>
                <c:rich>
                  <a:bodyPr vert="horz" rot="0" anchor="ctr"/>
                  <a:lstStyle/>
                  <a:p>
                    <a:pPr algn="ctr">
                      <a:defRPr/>
                    </a:pPr>
                    <a:r>
                      <a:rPr lang="en-US" cap="none" sz="1600" b="1" i="0" u="none" baseline="0">
                        <a:latin typeface="Arial"/>
                        <a:ea typeface="Arial"/>
                        <a:cs typeface="Arial"/>
                      </a:rPr>
                      <a:t>Net Energy Savings from Source Reduction and Reuse vs. Disposal*</a:t>
                    </a:r>
                  </a:p>
                </c:rich>
              </c:tx>
              <c:numFmt formatCode="General" sourceLinked="1"/>
              <c:showLegendKey val="0"/>
              <c:showVal val="0"/>
              <c:showBubbleSize val="0"/>
              <c:showCatName val="1"/>
              <c:showSerName val="0"/>
              <c:showPercent val="0"/>
            </c:dLbl>
            <c:numFmt formatCode="General" sourceLinked="1"/>
            <c:txPr>
              <a:bodyPr vert="horz" rot="0" anchor="ctr"/>
              <a:lstStyle/>
              <a:p>
                <a:pPr algn="ctr">
                  <a:defRPr lang="en-US" cap="none" sz="1600" b="1" i="0" u="none" baseline="0">
                    <a:latin typeface="Arial"/>
                    <a:ea typeface="Arial"/>
                    <a:cs typeface="Arial"/>
                  </a:defRPr>
                </a:pPr>
              </a:p>
            </c:txPr>
            <c:showLegendKey val="0"/>
            <c:showVal val="0"/>
            <c:showBubbleSize val="0"/>
            <c:showCatName val="1"/>
            <c:showSerName val="0"/>
            <c:showPercent val="0"/>
          </c:dLbls>
          <c:cat>
            <c:strRef>
              <c:f>'Wksht 4. Calculations'!$A$51:$A$53</c:f>
              <c:strCache>
                <c:ptCount val="3"/>
                <c:pt idx="0">
                  <c:v>Net Energy from Source Reduction and Reuse</c:v>
                </c:pt>
                <c:pt idx="1">
                  <c:v>Net Energy from Disposal</c:v>
                </c:pt>
                <c:pt idx="2">
                  <c:v>Energy Savings Due to Source Reduction and Reuse</c:v>
                </c:pt>
              </c:strCache>
            </c:strRef>
          </c:cat>
          <c:val>
            <c:numRef>
              <c:f>'Wksht 4. Calculations'!$B$51:$B$53</c:f>
              <c:numCache>
                <c:ptCount val="3"/>
                <c:pt idx="0">
                  <c:v>0</c:v>
                </c:pt>
                <c:pt idx="1">
                  <c:v>0</c:v>
                </c:pt>
                <c:pt idx="2">
                  <c:v>0</c:v>
                </c:pt>
              </c:numCache>
            </c:numRef>
          </c:val>
        </c:ser>
        <c:axId val="54731144"/>
        <c:axId val="22818249"/>
      </c:barChart>
      <c:catAx>
        <c:axId val="54731144"/>
        <c:scaling>
          <c:orientation val="minMax"/>
        </c:scaling>
        <c:axPos val="b"/>
        <c:delete val="0"/>
        <c:numFmt formatCode="General" sourceLinked="1"/>
        <c:majorTickMark val="out"/>
        <c:minorTickMark val="none"/>
        <c:tickLblPos val="none"/>
        <c:spPr>
          <a:ln w="3175">
            <a:noFill/>
          </a:ln>
        </c:spPr>
        <c:crossAx val="22818249"/>
        <c:crosses val="autoZero"/>
        <c:auto val="1"/>
        <c:lblOffset val="100"/>
        <c:noMultiLvlLbl val="0"/>
      </c:catAx>
      <c:valAx>
        <c:axId val="22818249"/>
        <c:scaling>
          <c:orientation val="minMax"/>
        </c:scaling>
        <c:axPos val="l"/>
        <c:delete val="0"/>
        <c:numFmt formatCode="General" sourceLinked="1"/>
        <c:majorTickMark val="out"/>
        <c:minorTickMark val="none"/>
        <c:tickLblPos val="nextTo"/>
        <c:txPr>
          <a:bodyPr/>
          <a:lstStyle/>
          <a:p>
            <a:pPr>
              <a:defRPr lang="en-US" cap="none" sz="1600" b="0" i="0" u="none" baseline="0">
                <a:latin typeface="Arial"/>
                <a:ea typeface="Arial"/>
                <a:cs typeface="Arial"/>
              </a:defRPr>
            </a:pPr>
          </a:p>
        </c:txPr>
        <c:crossAx val="54731144"/>
        <c:crossesAt val="1"/>
        <c:crossBetween val="between"/>
        <c:dispUnits/>
      </c:valAx>
      <c:spPr>
        <a:solidFill>
          <a:srgbClr val="FFFFFF"/>
        </a:solidFill>
        <a:ln w="3175">
          <a:noFill/>
        </a:ln>
      </c:spPr>
    </c:plotArea>
    <c:plotVisOnly val="1"/>
    <c:dispBlanksAs val="gap"/>
    <c:showDLblsOverMax val="0"/>
  </c:chart>
  <c:txPr>
    <a:bodyPr vert="horz" rot="0"/>
    <a:lstStyle/>
    <a:p>
      <a:pPr>
        <a:defRPr lang="en-US" cap="none" sz="3025" b="0" i="0" u="none" baseline="0">
          <a:latin typeface="Arial"/>
          <a:ea typeface="Arial"/>
          <a:cs typeface="Aria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latin typeface="Arial"/>
                <a:ea typeface="Arial"/>
                <a:cs typeface="Arial"/>
              </a:rPr>
              <a:t>Impacts of Recycling and Disposal of a Typical Curbside 
Set-Out Container on GHG (MTCE/Year)</a:t>
            </a:r>
          </a:p>
        </c:rich>
      </c:tx>
      <c:layout/>
      <c:spPr>
        <a:noFill/>
        <a:ln>
          <a:noFill/>
        </a:ln>
      </c:spPr>
    </c:title>
    <c:plotArea>
      <c:layout>
        <c:manualLayout>
          <c:xMode val="edge"/>
          <c:yMode val="edge"/>
          <c:x val="0"/>
          <c:y val="0.137"/>
          <c:w val="0.977"/>
          <c:h val="0.86225"/>
        </c:manualLayout>
      </c:layout>
      <c:barChart>
        <c:barDir val="col"/>
        <c:grouping val="clustered"/>
        <c:varyColors val="0"/>
        <c:ser>
          <c:idx val="0"/>
          <c:order val="0"/>
          <c:spPr>
            <a:solidFill>
              <a:srgbClr val="FFFF99"/>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0"/>
              <c:tx>
                <c:rich>
                  <a:bodyPr vert="horz" rot="0" anchor="ctr"/>
                  <a:lstStyle/>
                  <a:p>
                    <a:pPr algn="ctr">
                      <a:defRPr/>
                    </a:pPr>
                    <a:r>
                      <a:rPr lang="en-US" cap="none" sz="1550" b="1" i="0" u="none" baseline="0">
                        <a:latin typeface="Arial"/>
                        <a:ea typeface="Arial"/>
                        <a:cs typeface="Arial"/>
                      </a:rPr>
                      <a:t>GHG Emissions from Recycling</a:t>
                    </a:r>
                  </a:p>
                </c:rich>
              </c:tx>
              <c:numFmt formatCode="General" sourceLinked="1"/>
              <c:showLegendKey val="0"/>
              <c:showVal val="0"/>
              <c:showBubbleSize val="0"/>
              <c:showCatName val="1"/>
              <c:showSerName val="0"/>
              <c:showPercent val="0"/>
            </c:dLbl>
            <c:dLbl>
              <c:idx val="1"/>
              <c:tx>
                <c:rich>
                  <a:bodyPr vert="horz" rot="0" anchor="ctr"/>
                  <a:lstStyle/>
                  <a:p>
                    <a:pPr algn="ctr">
                      <a:defRPr/>
                    </a:pPr>
                    <a:r>
                      <a:rPr lang="en-US" cap="none" sz="1550" b="1" i="0" u="none" baseline="0">
                        <a:latin typeface="Arial"/>
                        <a:ea typeface="Arial"/>
                        <a:cs typeface="Arial"/>
                      </a:rPr>
                      <a:t>GHG Emissions if Recyclables had been Disposed</a:t>
                    </a:r>
                  </a:p>
                </c:rich>
              </c:tx>
              <c:numFmt formatCode="General" sourceLinked="1"/>
              <c:showLegendKey val="0"/>
              <c:showVal val="0"/>
              <c:showBubbleSize val="0"/>
              <c:showCatName val="1"/>
              <c:showSerName val="0"/>
              <c:showPercent val="0"/>
            </c:dLbl>
            <c:dLbl>
              <c:idx val="2"/>
              <c:tx>
                <c:rich>
                  <a:bodyPr vert="horz" rot="0" anchor="ctr"/>
                  <a:lstStyle/>
                  <a:p>
                    <a:pPr algn="ctr">
                      <a:defRPr/>
                    </a:pPr>
                    <a:r>
                      <a:rPr lang="en-US" cap="none" sz="1550" b="1" i="0" u="none" baseline="0">
                        <a:latin typeface="Arial"/>
                        <a:ea typeface="Arial"/>
                        <a:cs typeface="Arial"/>
                      </a:rPr>
                      <a:t>Net GHG Emissions Reduction from Recycling vs. Disposal*</a:t>
                    </a:r>
                  </a:p>
                </c:rich>
              </c:tx>
              <c:numFmt formatCode="General" sourceLinked="1"/>
              <c:showLegendKey val="0"/>
              <c:showVal val="0"/>
              <c:showBubbleSize val="0"/>
              <c:showCatName val="1"/>
              <c:showSerName val="0"/>
              <c:showPercent val="0"/>
            </c:dLbl>
            <c:numFmt formatCode="General" sourceLinked="1"/>
            <c:txPr>
              <a:bodyPr vert="horz" rot="0" anchor="ctr"/>
              <a:lstStyle/>
              <a:p>
                <a:pPr algn="ctr">
                  <a:defRPr lang="en-US" cap="none" sz="1550" b="1" i="0" u="none" baseline="0">
                    <a:latin typeface="Arial"/>
                    <a:ea typeface="Arial"/>
                    <a:cs typeface="Arial"/>
                  </a:defRPr>
                </a:pPr>
              </a:p>
            </c:txPr>
            <c:showLegendKey val="0"/>
            <c:showVal val="0"/>
            <c:showBubbleSize val="0"/>
            <c:showCatName val="1"/>
            <c:showSerName val="0"/>
            <c:showPercent val="0"/>
          </c:dLbls>
          <c:cat>
            <c:strRef>
              <c:f>'Wksht 4. Calculations'!$A$71:$A$73</c:f>
              <c:strCache>
                <c:ptCount val="3"/>
                <c:pt idx="0">
                  <c:v>GHG Emissions from Recycling</c:v>
                </c:pt>
                <c:pt idx="1">
                  <c:v>GHG Emissions from Disposal</c:v>
                </c:pt>
                <c:pt idx="2">
                  <c:v>GHG Benefit of Recycling (vs. Disposal)</c:v>
                </c:pt>
              </c:strCache>
            </c:strRef>
          </c:cat>
          <c:val>
            <c:numRef>
              <c:f>'Wksht 4. Calculations'!$B$71:$B$73</c:f>
              <c:numCache>
                <c:ptCount val="3"/>
                <c:pt idx="0">
                  <c:v>-1262169.5447793393</c:v>
                </c:pt>
                <c:pt idx="1">
                  <c:v>27357.462846785635</c:v>
                </c:pt>
                <c:pt idx="2">
                  <c:v>-1289527.007626125</c:v>
                </c:pt>
              </c:numCache>
            </c:numRef>
          </c:val>
        </c:ser>
        <c:axId val="4037650"/>
        <c:axId val="36338851"/>
      </c:barChart>
      <c:dateAx>
        <c:axId val="4037650"/>
        <c:scaling>
          <c:orientation val="minMax"/>
        </c:scaling>
        <c:axPos val="b"/>
        <c:delete val="1"/>
        <c:majorTickMark val="out"/>
        <c:minorTickMark val="none"/>
        <c:tickLblPos val="nextTo"/>
        <c:crossAx val="36338851"/>
        <c:crosses val="autoZero"/>
        <c:auto val="0"/>
        <c:noMultiLvlLbl val="0"/>
      </c:dateAx>
      <c:valAx>
        <c:axId val="36338851"/>
        <c:scaling>
          <c:orientation val="minMax"/>
        </c:scaling>
        <c:axPos val="l"/>
        <c:delete val="0"/>
        <c:numFmt formatCode="General" sourceLinked="1"/>
        <c:majorTickMark val="out"/>
        <c:minorTickMark val="none"/>
        <c:tickLblPos val="nextTo"/>
        <c:txPr>
          <a:bodyPr/>
          <a:lstStyle/>
          <a:p>
            <a:pPr>
              <a:defRPr lang="en-US" cap="none" sz="1550" b="0" i="0" u="none" baseline="0">
                <a:latin typeface="Arial"/>
                <a:ea typeface="Arial"/>
                <a:cs typeface="Arial"/>
              </a:defRPr>
            </a:pPr>
          </a:p>
        </c:txPr>
        <c:crossAx val="4037650"/>
        <c:crossesAt val="1"/>
        <c:crossBetween val="between"/>
        <c:dispUnits/>
      </c:valAx>
      <c:spPr>
        <a:solidFill>
          <a:srgbClr val="FFFFFF"/>
        </a:solidFill>
        <a:ln w="3175">
          <a:noFill/>
        </a:ln>
      </c:spPr>
    </c:plotArea>
    <c:plotVisOnly val="1"/>
    <c:dispBlanksAs val="gap"/>
    <c:showDLblsOverMax val="0"/>
  </c:chart>
  <c:txPr>
    <a:bodyPr vert="horz" rot="0"/>
    <a:lstStyle/>
    <a:p>
      <a:pPr>
        <a:defRPr lang="en-US" cap="none" sz="1850" b="0" i="0" u="none" baseline="0">
          <a:latin typeface="Arial"/>
          <a:ea typeface="Arial"/>
          <a:cs typeface="Aria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latin typeface="Arial"/>
                <a:ea typeface="Arial"/>
                <a:cs typeface="Arial"/>
              </a:rPr>
              <a:t>Impacts of Recycling and Disposal of a Typical Curbside Set-Out Container on Energy Use (Million BTU/Year)</a:t>
            </a:r>
          </a:p>
        </c:rich>
      </c:tx>
      <c:layout>
        <c:manualLayout>
          <c:xMode val="factor"/>
          <c:yMode val="factor"/>
          <c:x val="-0.00125"/>
          <c:y val="-0.0055"/>
        </c:manualLayout>
      </c:layout>
      <c:spPr>
        <a:noFill/>
        <a:ln>
          <a:noFill/>
        </a:ln>
      </c:spPr>
    </c:title>
    <c:plotArea>
      <c:layout>
        <c:manualLayout>
          <c:xMode val="edge"/>
          <c:yMode val="edge"/>
          <c:x val="0.008"/>
          <c:y val="0.07225"/>
          <c:w val="0.983"/>
          <c:h val="0.8075"/>
        </c:manualLayout>
      </c:layout>
      <c:barChart>
        <c:barDir val="col"/>
        <c:grouping val="clustered"/>
        <c:varyColors val="0"/>
        <c:ser>
          <c:idx val="0"/>
          <c:order val="0"/>
          <c:spPr>
            <a:solidFill>
              <a:srgbClr val="FFFF99"/>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0"/>
              <c:tx>
                <c:rich>
                  <a:bodyPr vert="horz" rot="0" anchor="ctr"/>
                  <a:lstStyle/>
                  <a:p>
                    <a:pPr algn="ctr">
                      <a:defRPr/>
                    </a:pPr>
                    <a:r>
                      <a:rPr lang="en-US" cap="none" sz="1600" b="1" i="0" u="none" baseline="0">
                        <a:latin typeface="Arial"/>
                        <a:ea typeface="Arial"/>
                        <a:cs typeface="Arial"/>
                      </a:rPr>
                      <a:t>Energy Use from Recycling</a:t>
                    </a:r>
                  </a:p>
                </c:rich>
              </c:tx>
              <c:numFmt formatCode="General" sourceLinked="1"/>
              <c:showLegendKey val="0"/>
              <c:showVal val="0"/>
              <c:showBubbleSize val="0"/>
              <c:showCatName val="1"/>
              <c:showSerName val="0"/>
              <c:showPercent val="0"/>
            </c:dLbl>
            <c:dLbl>
              <c:idx val="1"/>
              <c:tx>
                <c:rich>
                  <a:bodyPr vert="horz" rot="0" anchor="ctr"/>
                  <a:lstStyle/>
                  <a:p>
                    <a:pPr algn="ctr">
                      <a:defRPr/>
                    </a:pPr>
                    <a:r>
                      <a:rPr lang="en-US" cap="none" sz="1600" b="1" i="0" u="none" baseline="0">
                        <a:latin typeface="Arial"/>
                        <a:ea typeface="Arial"/>
                        <a:cs typeface="Arial"/>
                      </a:rPr>
                      <a:t>Energy Use if Recyclables had been Disposed</a:t>
                    </a:r>
                  </a:p>
                </c:rich>
              </c:tx>
              <c:numFmt formatCode="General" sourceLinked="1"/>
              <c:showLegendKey val="0"/>
              <c:showVal val="0"/>
              <c:showBubbleSize val="0"/>
              <c:showCatName val="1"/>
              <c:showSerName val="0"/>
              <c:showPercent val="0"/>
            </c:dLbl>
            <c:dLbl>
              <c:idx val="2"/>
              <c:tx>
                <c:rich>
                  <a:bodyPr vert="horz" rot="0" anchor="ctr"/>
                  <a:lstStyle/>
                  <a:p>
                    <a:pPr algn="ctr">
                      <a:defRPr/>
                    </a:pPr>
                    <a:r>
                      <a:rPr lang="en-US" cap="none" sz="1600" b="1" i="0" u="none" baseline="0">
                        <a:latin typeface="Arial"/>
                        <a:ea typeface="Arial"/>
                        <a:cs typeface="Arial"/>
                      </a:rPr>
                      <a:t>Net Energy Savings from Recycling vs. Disposal*</a:t>
                    </a:r>
                  </a:p>
                </c:rich>
              </c:tx>
              <c:numFmt formatCode="General" sourceLinked="1"/>
              <c:showLegendKey val="0"/>
              <c:showVal val="0"/>
              <c:showBubbleSize val="0"/>
              <c:showCatName val="1"/>
              <c:showSerName val="0"/>
              <c:showPercent val="0"/>
            </c:dLbl>
            <c:numFmt formatCode="General" sourceLinked="1"/>
            <c:txPr>
              <a:bodyPr vert="horz" rot="0" anchor="ctr"/>
              <a:lstStyle/>
              <a:p>
                <a:pPr algn="ctr">
                  <a:defRPr lang="en-US" cap="none" sz="1600" b="1" i="0" u="none" baseline="0">
                    <a:latin typeface="Arial"/>
                    <a:ea typeface="Arial"/>
                    <a:cs typeface="Arial"/>
                  </a:defRPr>
                </a:pPr>
              </a:p>
            </c:txPr>
            <c:showLegendKey val="0"/>
            <c:showVal val="0"/>
            <c:showBubbleSize val="0"/>
            <c:showCatName val="1"/>
            <c:showSerName val="0"/>
            <c:showPercent val="0"/>
          </c:dLbls>
          <c:cat>
            <c:strRef>
              <c:f>'Wksht 4. Calculations'!$A$76:$A$78</c:f>
              <c:strCache>
                <c:ptCount val="3"/>
                <c:pt idx="0">
                  <c:v>Net Energy from Recycling</c:v>
                </c:pt>
                <c:pt idx="1">
                  <c:v>Net Energy from Disposal</c:v>
                </c:pt>
                <c:pt idx="2">
                  <c:v>Energy Savings Due to Recycling</c:v>
                </c:pt>
              </c:strCache>
            </c:strRef>
          </c:cat>
          <c:val>
            <c:numRef>
              <c:f>'Wksht 4. Calculations'!$B$76:$B$78</c:f>
              <c:numCache>
                <c:ptCount val="3"/>
                <c:pt idx="0">
                  <c:v>-29252734.69672321</c:v>
                </c:pt>
                <c:pt idx="1">
                  <c:v>-519709.5550756762</c:v>
                </c:pt>
                <c:pt idx="2">
                  <c:v>-28733025.141647536</c:v>
                </c:pt>
              </c:numCache>
            </c:numRef>
          </c:val>
        </c:ser>
        <c:axId val="58614204"/>
        <c:axId val="57765789"/>
      </c:barChart>
      <c:catAx>
        <c:axId val="58614204"/>
        <c:scaling>
          <c:orientation val="minMax"/>
        </c:scaling>
        <c:axPos val="b"/>
        <c:delete val="0"/>
        <c:numFmt formatCode="General" sourceLinked="1"/>
        <c:majorTickMark val="out"/>
        <c:minorTickMark val="none"/>
        <c:tickLblPos val="none"/>
        <c:spPr>
          <a:ln w="3175">
            <a:noFill/>
          </a:ln>
        </c:spPr>
        <c:crossAx val="57765789"/>
        <c:crosses val="autoZero"/>
        <c:auto val="1"/>
        <c:lblOffset val="100"/>
        <c:noMultiLvlLbl val="0"/>
      </c:catAx>
      <c:valAx>
        <c:axId val="57765789"/>
        <c:scaling>
          <c:orientation val="minMax"/>
        </c:scaling>
        <c:axPos val="l"/>
        <c:delete val="0"/>
        <c:numFmt formatCode="General" sourceLinked="1"/>
        <c:majorTickMark val="out"/>
        <c:minorTickMark val="none"/>
        <c:tickLblPos val="nextTo"/>
        <c:txPr>
          <a:bodyPr/>
          <a:lstStyle/>
          <a:p>
            <a:pPr>
              <a:defRPr lang="en-US" cap="none" sz="1600" b="0" i="0" u="none" baseline="0">
                <a:latin typeface="Arial"/>
                <a:ea typeface="Arial"/>
                <a:cs typeface="Arial"/>
              </a:defRPr>
            </a:pPr>
          </a:p>
        </c:txPr>
        <c:crossAx val="58614204"/>
        <c:crossesAt val="1"/>
        <c:crossBetween val="between"/>
        <c:dispUnits/>
      </c:valAx>
      <c:spPr>
        <a:solidFill>
          <a:srgbClr val="FFFFFF"/>
        </a:solidFill>
        <a:ln w="3175">
          <a:noFill/>
        </a:ln>
      </c:spPr>
    </c:plotArea>
    <c:plotVisOnly val="1"/>
    <c:dispBlanksAs val="gap"/>
    <c:showDLblsOverMax val="0"/>
  </c:chart>
  <c:txPr>
    <a:bodyPr vert="horz" rot="0"/>
    <a:lstStyle/>
    <a:p>
      <a:pPr>
        <a:defRPr lang="en-US" cap="none" sz="30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latin typeface="Arial"/>
                <a:ea typeface="Arial"/>
                <a:cs typeface="Arial"/>
              </a:rPr>
              <a:t>Comparison: Source Reduction, Reuse, and Recycling Energy Savings vs. Selected Consumption Sources (Million BTUs)</a:t>
            </a:r>
          </a:p>
        </c:rich>
      </c:tx>
      <c:layout/>
      <c:spPr>
        <a:noFill/>
        <a:ln>
          <a:noFill/>
        </a:ln>
      </c:spPr>
    </c:title>
    <c:plotArea>
      <c:layout/>
      <c:barChart>
        <c:barDir val="col"/>
        <c:grouping val="clustered"/>
        <c:varyColors val="0"/>
        <c:ser>
          <c:idx val="0"/>
          <c:order val="0"/>
          <c:spPr>
            <a:solidFill>
              <a:srgbClr val="FFFF99"/>
            </a:solidFill>
          </c:spPr>
          <c:invertIfNegative val="0"/>
          <c:extLst>
            <c:ext xmlns:c14="http://schemas.microsoft.com/office/drawing/2007/8/2/chart" uri="{6F2FDCE9-48DA-4B69-8628-5D25D57E5C99}">
              <c14:invertSolidFillFmt>
                <c14:spPr>
                  <a:solidFill>
                    <a:srgbClr val="FFFFFF"/>
                  </a:solidFill>
                </c14:spPr>
              </c14:invertSolidFillFmt>
            </c:ext>
          </c:extLst>
          <c:cat>
            <c:strRef>
              <c:f>'Wksht 4. Calculations'!$A$61:$A$63</c:f>
              <c:strCache>
                <c:ptCount val="3"/>
                <c:pt idx="0">
                  <c:v>Energy Saved by Source Reduction, Reuse &amp; Recycling</c:v>
                </c:pt>
                <c:pt idx="1">
                  <c:v>Statewide Hydroelectric Consumption</c:v>
                </c:pt>
                <c:pt idx="2">
                  <c:v>Statewide Coal Consumption</c:v>
                </c:pt>
              </c:strCache>
            </c:strRef>
          </c:cat>
          <c:val>
            <c:numRef>
              <c:f>'Wksht 4. Calculations'!$B$61:$B$63</c:f>
              <c:numCache>
                <c:ptCount val="3"/>
                <c:pt idx="0">
                  <c:v>-103787281.41504616</c:v>
                </c:pt>
                <c:pt idx="1">
                  <c:v>22500000</c:v>
                </c:pt>
                <c:pt idx="2">
                  <c:v>1441900000</c:v>
                </c:pt>
              </c:numCache>
            </c:numRef>
          </c:val>
        </c:ser>
        <c:axId val="66719706"/>
        <c:axId val="63606443"/>
      </c:barChart>
      <c:catAx>
        <c:axId val="66719706"/>
        <c:scaling>
          <c:orientation val="minMax"/>
        </c:scaling>
        <c:axPos val="b"/>
        <c:delete val="0"/>
        <c:numFmt formatCode="General" sourceLinked="1"/>
        <c:majorTickMark val="out"/>
        <c:minorTickMark val="none"/>
        <c:tickLblPos val="nextTo"/>
        <c:txPr>
          <a:bodyPr/>
          <a:lstStyle/>
          <a:p>
            <a:pPr>
              <a:defRPr lang="en-US" cap="none" sz="1400" b="1" i="0" u="none" baseline="0">
                <a:latin typeface="Arial"/>
                <a:ea typeface="Arial"/>
                <a:cs typeface="Arial"/>
              </a:defRPr>
            </a:pPr>
          </a:p>
        </c:txPr>
        <c:crossAx val="63606443"/>
        <c:crosses val="autoZero"/>
        <c:auto val="1"/>
        <c:lblOffset val="100"/>
        <c:noMultiLvlLbl val="0"/>
      </c:catAx>
      <c:valAx>
        <c:axId val="63606443"/>
        <c:scaling>
          <c:orientation val="minMax"/>
          <c:max val="1500000000"/>
        </c:scaling>
        <c:axPos val="l"/>
        <c:delete val="0"/>
        <c:numFmt formatCode="General" sourceLinked="1"/>
        <c:majorTickMark val="out"/>
        <c:minorTickMark val="none"/>
        <c:tickLblPos val="nextTo"/>
        <c:txPr>
          <a:bodyPr/>
          <a:lstStyle/>
          <a:p>
            <a:pPr>
              <a:defRPr lang="en-US" cap="none" sz="1400" b="0" i="0" u="none" baseline="0">
                <a:latin typeface="Arial"/>
                <a:ea typeface="Arial"/>
                <a:cs typeface="Arial"/>
              </a:defRPr>
            </a:pPr>
          </a:p>
        </c:txPr>
        <c:crossAx val="66719706"/>
        <c:crossesAt val="1"/>
        <c:crossBetween val="between"/>
        <c:dispUnits/>
      </c:valAx>
      <c:spPr>
        <a:solidFill>
          <a:srgbClr val="FFFFFF"/>
        </a:solidFill>
        <a:ln w="3175">
          <a:noFill/>
        </a:ln>
      </c:spPr>
    </c:plotArea>
    <c:plotVisOnly val="1"/>
    <c:dispBlanksAs val="gap"/>
    <c:showDLblsOverMax val="0"/>
  </c:chart>
  <c:txPr>
    <a:bodyPr vert="horz" rot="0"/>
    <a:lstStyle/>
    <a:p>
      <a:pPr>
        <a:defRPr lang="en-US" cap="none" sz="19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350" b="1" i="0" u="none" baseline="0">
                <a:latin typeface="Arial"/>
                <a:ea typeface="Arial"/>
                <a:cs typeface="Arial"/>
              </a:rPr>
              <a:t>Comparison of NO</a:t>
            </a:r>
            <a:r>
              <a:rPr lang="en-US" cap="none" sz="350" b="1" i="0" u="none" baseline="-25000">
                <a:latin typeface="Arial"/>
                <a:ea typeface="Arial"/>
                <a:cs typeface="Arial"/>
              </a:rPr>
              <a:t>x</a:t>
            </a:r>
            <a:r>
              <a:rPr lang="en-US" cap="none" sz="350" b="1" i="0" u="none" baseline="0">
                <a:latin typeface="Arial"/>
                <a:ea typeface="Arial"/>
                <a:cs typeface="Arial"/>
              </a:rPr>
              <a:t> Emissions from Electric Utilities and Recycling Reductions (Metric Tons) </a:t>
            </a:r>
          </a:p>
        </c:rich>
      </c:tx>
      <c:layout/>
      <c:spPr>
        <a:noFill/>
        <a:ln>
          <a:noFill/>
        </a:ln>
      </c:spPr>
    </c:title>
    <c:plotArea>
      <c:layout/>
      <c:barChart>
        <c:barDir val="col"/>
        <c:grouping val="clustered"/>
        <c:varyColors val="0"/>
        <c:ser>
          <c:idx val="0"/>
          <c:order val="0"/>
          <c:spPr>
            <a:solidFill>
              <a:srgbClr val="FFFF00"/>
            </a:solidFill>
          </c:spPr>
          <c:invertIfNegative val="0"/>
          <c:extLst>
            <c:ext xmlns:c14="http://schemas.microsoft.com/office/drawing/2007/8/2/chart" uri="{6F2FDCE9-48DA-4B69-8628-5D25D57E5C99}">
              <c14:invertSolidFillFmt>
                <c14:spPr>
                  <a:solidFill>
                    <a:srgbClr val="FFFFFF"/>
                  </a:solidFill>
                </c14:spPr>
              </c14:invertSolidFillFmt>
            </c:ext>
          </c:extLst>
          <c:cat>
            <c:strRef>
              <c:f>'Wksht 4. Calculations'!#REF!</c:f>
              <c:strCache>
                <c:ptCount val="1"/>
                <c:pt idx="0">
                  <c:v>1</c:v>
                </c:pt>
              </c:strCache>
            </c:strRef>
          </c:cat>
          <c:val>
            <c:numRef>
              <c:f>'Wksht 4. Calculations'!#REF!</c:f>
              <c:numCache>
                <c:ptCount val="1"/>
                <c:pt idx="0">
                  <c:v>1</c:v>
                </c:pt>
              </c:numCache>
            </c:numRef>
          </c:val>
        </c:ser>
        <c:axId val="35587076"/>
        <c:axId val="51848229"/>
      </c:barChart>
      <c:catAx>
        <c:axId val="35587076"/>
        <c:scaling>
          <c:orientation val="minMax"/>
        </c:scaling>
        <c:axPos val="b"/>
        <c:delete val="0"/>
        <c:numFmt formatCode="General" sourceLinked="1"/>
        <c:majorTickMark val="out"/>
        <c:minorTickMark val="none"/>
        <c:tickLblPos val="nextTo"/>
        <c:txPr>
          <a:bodyPr/>
          <a:lstStyle/>
          <a:p>
            <a:pPr>
              <a:defRPr lang="en-US" cap="none" sz="300" b="1" i="0" u="none" baseline="0">
                <a:latin typeface="Arial"/>
                <a:ea typeface="Arial"/>
                <a:cs typeface="Arial"/>
              </a:defRPr>
            </a:pPr>
          </a:p>
        </c:txPr>
        <c:crossAx val="51848229"/>
        <c:crosses val="autoZero"/>
        <c:auto val="1"/>
        <c:lblOffset val="100"/>
        <c:noMultiLvlLbl val="0"/>
      </c:catAx>
      <c:valAx>
        <c:axId val="51848229"/>
        <c:scaling>
          <c:orientation val="minMax"/>
        </c:scaling>
        <c:axPos val="l"/>
        <c:delete val="0"/>
        <c:numFmt formatCode="General" sourceLinked="1"/>
        <c:majorTickMark val="out"/>
        <c:minorTickMark val="none"/>
        <c:tickLblPos val="nextTo"/>
        <c:crossAx val="35587076"/>
        <c:crossesAt val="1"/>
        <c:crossBetween val="between"/>
        <c:dispUnits/>
      </c:valAx>
      <c:spPr>
        <a:solidFill>
          <a:srgbClr val="FFFFFF"/>
        </a:solidFill>
        <a:ln w="3175">
          <a:noFill/>
        </a:ln>
      </c:spPr>
    </c:plotArea>
    <c:plotVisOnly val="1"/>
    <c:dispBlanksAs val="gap"/>
    <c:showDLblsOverMax val="0"/>
  </c:chart>
  <c:txPr>
    <a:bodyPr vert="horz" rot="0"/>
    <a:lstStyle/>
    <a:p>
      <a:pPr>
        <a:defRPr lang="en-US" cap="none" sz="3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latin typeface="Arial"/>
                <a:ea typeface="Arial"/>
                <a:cs typeface="Arial"/>
              </a:rPr>
              <a:t>Comparison: Source Reduction, Reuse, and Recycling Energy Savings vs. Selected Energy Generation (Million BTUs)</a:t>
            </a:r>
          </a:p>
        </c:rich>
      </c:tx>
      <c:layout/>
      <c:spPr>
        <a:noFill/>
        <a:ln>
          <a:noFill/>
        </a:ln>
      </c:spPr>
    </c:title>
    <c:plotArea>
      <c:layout/>
      <c:barChart>
        <c:barDir val="col"/>
        <c:grouping val="clustered"/>
        <c:varyColors val="0"/>
        <c:ser>
          <c:idx val="0"/>
          <c:order val="0"/>
          <c:spPr>
            <a:solidFill>
              <a:srgbClr val="FFFF99"/>
            </a:solidFill>
          </c:spPr>
          <c:invertIfNegative val="0"/>
          <c:extLst>
            <c:ext xmlns:c14="http://schemas.microsoft.com/office/drawing/2007/8/2/chart" uri="{6F2FDCE9-48DA-4B69-8628-5D25D57E5C99}">
              <c14:invertSolidFillFmt>
                <c14:spPr>
                  <a:solidFill>
                    <a:srgbClr val="FFFFFF"/>
                  </a:solidFill>
                </c14:spPr>
              </c14:invertSolidFillFmt>
            </c:ext>
          </c:extLst>
          <c:cat>
            <c:strRef>
              <c:f>'Wksht 4. Calculations'!$A$66:$A$68</c:f>
              <c:strCache>
                <c:ptCount val="3"/>
                <c:pt idx="0">
                  <c:v>Energy Saved by Source Reduction, Reuse &amp; Recycling</c:v>
                </c:pt>
                <c:pt idx="1">
                  <c:v>Statewide Coal Power Generation</c:v>
                </c:pt>
                <c:pt idx="2">
                  <c:v>Statewide Nuclear Power Generation</c:v>
                </c:pt>
              </c:strCache>
            </c:strRef>
          </c:cat>
          <c:val>
            <c:numRef>
              <c:f>'Wksht 4. Calculations'!$B$66:$B$68</c:f>
              <c:numCache>
                <c:ptCount val="3"/>
                <c:pt idx="0">
                  <c:v>-103787281.41504616</c:v>
                </c:pt>
                <c:pt idx="1">
                  <c:v>330306143.3447099</c:v>
                </c:pt>
                <c:pt idx="2">
                  <c:v>226545051.19453922</c:v>
                </c:pt>
              </c:numCache>
            </c:numRef>
          </c:val>
        </c:ser>
        <c:axId val="63980878"/>
        <c:axId val="38956991"/>
      </c:barChart>
      <c:catAx>
        <c:axId val="63980878"/>
        <c:scaling>
          <c:orientation val="minMax"/>
        </c:scaling>
        <c:axPos val="b"/>
        <c:delete val="0"/>
        <c:numFmt formatCode="General" sourceLinked="1"/>
        <c:majorTickMark val="out"/>
        <c:minorTickMark val="none"/>
        <c:tickLblPos val="nextTo"/>
        <c:txPr>
          <a:bodyPr/>
          <a:lstStyle/>
          <a:p>
            <a:pPr>
              <a:defRPr lang="en-US" cap="none" sz="1400" b="1" i="0" u="none" baseline="0">
                <a:latin typeface="Arial"/>
                <a:ea typeface="Arial"/>
                <a:cs typeface="Arial"/>
              </a:defRPr>
            </a:pPr>
          </a:p>
        </c:txPr>
        <c:crossAx val="38956991"/>
        <c:crosses val="autoZero"/>
        <c:auto val="1"/>
        <c:lblOffset val="100"/>
        <c:noMultiLvlLbl val="0"/>
      </c:catAx>
      <c:valAx>
        <c:axId val="38956991"/>
        <c:scaling>
          <c:orientation val="minMax"/>
        </c:scaling>
        <c:axPos val="l"/>
        <c:delete val="0"/>
        <c:numFmt formatCode="General" sourceLinked="1"/>
        <c:majorTickMark val="out"/>
        <c:minorTickMark val="none"/>
        <c:tickLblPos val="nextTo"/>
        <c:txPr>
          <a:bodyPr/>
          <a:lstStyle/>
          <a:p>
            <a:pPr>
              <a:defRPr lang="en-US" cap="none" sz="1400" b="0" i="0" u="none" baseline="0">
                <a:latin typeface="Arial"/>
                <a:ea typeface="Arial"/>
                <a:cs typeface="Arial"/>
              </a:defRPr>
            </a:pPr>
          </a:p>
        </c:txPr>
        <c:crossAx val="63980878"/>
        <c:crossesAt val="1"/>
        <c:crossBetween val="between"/>
        <c:dispUnits/>
        <c:majorUnit val="100000000"/>
      </c:valAx>
      <c:spPr>
        <a:solidFill>
          <a:srgbClr val="FFFFFF"/>
        </a:solidFill>
        <a:ln w="3175">
          <a:noFill/>
        </a:ln>
      </c:spPr>
    </c:plotArea>
    <c:plotVisOnly val="1"/>
    <c:dispBlanksAs val="gap"/>
    <c:showDLblsOverMax val="0"/>
  </c:chart>
  <c:txPr>
    <a:bodyPr vert="horz" rot="0"/>
    <a:lstStyle/>
    <a:p>
      <a:pPr>
        <a:defRPr lang="en-US" cap="none" sz="215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1" i="0" u="none" baseline="0">
                <a:latin typeface="Arial"/>
                <a:ea typeface="Arial"/>
                <a:cs typeface="Arial"/>
              </a:rPr>
              <a:t>Reduced Air Emissions Due to Recycling, Excluding CO</a:t>
            </a:r>
            <a:r>
              <a:rPr lang="en-US" cap="none" sz="225" b="1" i="0" u="none" baseline="-25000">
                <a:latin typeface="Arial"/>
                <a:ea typeface="Arial"/>
                <a:cs typeface="Arial"/>
              </a:rPr>
              <a:t>2</a:t>
            </a:r>
            <a:r>
              <a:rPr lang="en-US" cap="none" sz="225" b="1" i="0" u="none" baseline="0">
                <a:latin typeface="Arial"/>
                <a:ea typeface="Arial"/>
                <a:cs typeface="Arial"/>
              </a:rPr>
              <a:t> (Metric Tons)</a:t>
            </a:r>
          </a:p>
        </c:rich>
      </c:tx>
      <c:layout/>
      <c:spPr>
        <a:noFill/>
        <a:ln>
          <a:noFill/>
        </a:ln>
      </c:spPr>
    </c:title>
    <c:plotArea>
      <c:layout/>
      <c:barChart>
        <c:barDir val="col"/>
        <c:grouping val="clustered"/>
        <c:varyColors val="0"/>
        <c:ser>
          <c:idx val="0"/>
          <c:order val="0"/>
          <c:spPr>
            <a:solidFill>
              <a:srgbClr val="FFFF00"/>
            </a:solidFill>
          </c:spPr>
          <c:invertIfNegative val="0"/>
          <c:extLst>
            <c:ext xmlns:c14="http://schemas.microsoft.com/office/drawing/2007/8/2/chart" uri="{6F2FDCE9-48DA-4B69-8628-5D25D57E5C99}">
              <c14:invertSolidFillFmt>
                <c14:spPr>
                  <a:solidFill>
                    <a:srgbClr val="FFFFFF"/>
                  </a:solidFill>
                </c14:spPr>
              </c14:invertSolidFillFmt>
            </c:ext>
          </c:extLst>
          <c:cat>
            <c:strRef>
              <c:f>'Wksht 4. Calculations'!#REF!</c:f>
              <c:strCache>
                <c:ptCount val="1"/>
                <c:pt idx="0">
                  <c:v>1</c:v>
                </c:pt>
              </c:strCache>
            </c:strRef>
          </c:cat>
          <c:val>
            <c:numRef>
              <c:f>'Wksht 4. Calculations'!#REF!</c:f>
              <c:numCache>
                <c:ptCount val="1"/>
                <c:pt idx="0">
                  <c:v>1</c:v>
                </c:pt>
              </c:numCache>
            </c:numRef>
          </c:val>
        </c:ser>
        <c:axId val="15068600"/>
        <c:axId val="1399673"/>
      </c:barChart>
      <c:catAx>
        <c:axId val="15068600"/>
        <c:scaling>
          <c:orientation val="minMax"/>
        </c:scaling>
        <c:axPos val="b"/>
        <c:delete val="0"/>
        <c:numFmt formatCode="General" sourceLinked="1"/>
        <c:majorTickMark val="out"/>
        <c:minorTickMark val="none"/>
        <c:tickLblPos val="nextTo"/>
        <c:txPr>
          <a:bodyPr/>
          <a:lstStyle/>
          <a:p>
            <a:pPr>
              <a:defRPr lang="en-US" cap="none" sz="200" b="1" i="0" u="none" baseline="0">
                <a:latin typeface="Arial"/>
                <a:ea typeface="Arial"/>
                <a:cs typeface="Arial"/>
              </a:defRPr>
            </a:pPr>
          </a:p>
        </c:txPr>
        <c:crossAx val="1399673"/>
        <c:crosses val="autoZero"/>
        <c:auto val="1"/>
        <c:lblOffset val="100"/>
        <c:noMultiLvlLbl val="0"/>
      </c:catAx>
      <c:valAx>
        <c:axId val="1399673"/>
        <c:scaling>
          <c:orientation val="minMax"/>
        </c:scaling>
        <c:axPos val="l"/>
        <c:delete val="0"/>
        <c:numFmt formatCode="General" sourceLinked="1"/>
        <c:majorTickMark val="out"/>
        <c:minorTickMark val="none"/>
        <c:tickLblPos val="nextTo"/>
        <c:txPr>
          <a:bodyPr/>
          <a:lstStyle/>
          <a:p>
            <a:pPr>
              <a:defRPr lang="en-US" cap="none" sz="200" b="0" i="0" u="none" baseline="0">
                <a:latin typeface="Arial"/>
                <a:ea typeface="Arial"/>
                <a:cs typeface="Arial"/>
              </a:defRPr>
            </a:pPr>
          </a:p>
        </c:txPr>
        <c:crossAx val="15068600"/>
        <c:crossesAt val="1"/>
        <c:crossBetween val="between"/>
        <c:dispUnits/>
      </c:valAx>
      <c:spPr>
        <a:solidFill>
          <a:srgbClr val="FFFFFF"/>
        </a:solidFill>
        <a:ln w="3175">
          <a:noFill/>
        </a:ln>
      </c:spPr>
    </c:plotArea>
    <c:plotVisOnly val="1"/>
    <c:dispBlanksAs val="gap"/>
    <c:showDLblsOverMax val="0"/>
  </c:chart>
  <c:txPr>
    <a:bodyPr vert="horz" rot="0"/>
    <a:lstStyle/>
    <a:p>
      <a:pPr>
        <a:defRPr lang="en-US" cap="none" sz="325"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300" b="1" i="0" u="none" baseline="0">
                <a:latin typeface="Arial"/>
                <a:ea typeface="Arial"/>
                <a:cs typeface="Arial"/>
              </a:rPr>
              <a:t>Reduced Waterborne Wastes Due to Recycling 
(Metric Tons)</a:t>
            </a:r>
          </a:p>
        </c:rich>
      </c:tx>
      <c:layout/>
      <c:spPr>
        <a:noFill/>
        <a:ln>
          <a:noFill/>
        </a:ln>
      </c:spPr>
    </c:title>
    <c:plotArea>
      <c:layout/>
      <c:barChart>
        <c:barDir val="col"/>
        <c:grouping val="clustered"/>
        <c:varyColors val="0"/>
        <c:ser>
          <c:idx val="0"/>
          <c:order val="0"/>
          <c:spPr>
            <a:solidFill>
              <a:srgbClr val="FFFF00"/>
            </a:solidFill>
          </c:spPr>
          <c:invertIfNegative val="0"/>
          <c:extLst>
            <c:ext xmlns:c14="http://schemas.microsoft.com/office/drawing/2007/8/2/chart" uri="{6F2FDCE9-48DA-4B69-8628-5D25D57E5C99}">
              <c14:invertSolidFillFmt>
                <c14:spPr>
                  <a:solidFill>
                    <a:srgbClr val="FFFFFF"/>
                  </a:solidFill>
                </c14:spPr>
              </c14:invertSolidFillFmt>
            </c:ext>
          </c:extLst>
          <c:cat>
            <c:strRef>
              <c:f>'Wksht 4. Calculations'!#REF!</c:f>
              <c:strCache>
                <c:ptCount val="1"/>
                <c:pt idx="0">
                  <c:v>1</c:v>
                </c:pt>
              </c:strCache>
            </c:strRef>
          </c:cat>
          <c:val>
            <c:numRef>
              <c:f>'Wksht 4. Calculations'!#REF!</c:f>
              <c:numCache>
                <c:ptCount val="1"/>
                <c:pt idx="0">
                  <c:v>1</c:v>
                </c:pt>
              </c:numCache>
            </c:numRef>
          </c:val>
        </c:ser>
        <c:axId val="12597058"/>
        <c:axId val="46264659"/>
      </c:barChart>
      <c:catAx>
        <c:axId val="12597058"/>
        <c:scaling>
          <c:orientation val="minMax"/>
        </c:scaling>
        <c:axPos val="b"/>
        <c:delete val="0"/>
        <c:numFmt formatCode="General" sourceLinked="1"/>
        <c:majorTickMark val="out"/>
        <c:minorTickMark val="none"/>
        <c:tickLblPos val="nextTo"/>
        <c:txPr>
          <a:bodyPr/>
          <a:lstStyle/>
          <a:p>
            <a:pPr>
              <a:defRPr lang="en-US" cap="none" sz="275" b="1" i="0" u="none" baseline="0">
                <a:latin typeface="Arial"/>
                <a:ea typeface="Arial"/>
                <a:cs typeface="Arial"/>
              </a:defRPr>
            </a:pPr>
          </a:p>
        </c:txPr>
        <c:crossAx val="46264659"/>
        <c:crosses val="autoZero"/>
        <c:auto val="1"/>
        <c:lblOffset val="100"/>
        <c:noMultiLvlLbl val="0"/>
      </c:catAx>
      <c:valAx>
        <c:axId val="46264659"/>
        <c:scaling>
          <c:orientation val="minMax"/>
        </c:scaling>
        <c:axPos val="l"/>
        <c:delete val="0"/>
        <c:numFmt formatCode="General" sourceLinked="1"/>
        <c:majorTickMark val="out"/>
        <c:minorTickMark val="none"/>
        <c:tickLblPos val="nextTo"/>
        <c:txPr>
          <a:bodyPr/>
          <a:lstStyle/>
          <a:p>
            <a:pPr>
              <a:defRPr lang="en-US" cap="none" sz="275" b="0" i="0" u="none" baseline="0">
                <a:latin typeface="Arial"/>
                <a:ea typeface="Arial"/>
                <a:cs typeface="Arial"/>
              </a:defRPr>
            </a:pPr>
          </a:p>
        </c:txPr>
        <c:crossAx val="12597058"/>
        <c:crossesAt val="1"/>
        <c:crossBetween val="between"/>
        <c:dispUnits/>
      </c:valAx>
      <c:spPr>
        <a:solidFill>
          <a:srgbClr val="FFFFFF"/>
        </a:solidFill>
        <a:ln w="3175">
          <a:noFill/>
        </a:ln>
      </c:spPr>
    </c:plotArea>
    <c:plotVisOnly val="1"/>
    <c:dispBlanksAs val="gap"/>
    <c:showDLblsOverMax val="0"/>
  </c:chart>
  <c:txPr>
    <a:bodyPr vert="horz" rot="0"/>
    <a:lstStyle/>
    <a:p>
      <a:pPr>
        <a:defRPr lang="en-US" cap="none" sz="325"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375" b="1" i="0" u="none" baseline="0">
                <a:latin typeface="Arial"/>
                <a:ea typeface="Arial"/>
                <a:cs typeface="Arial"/>
              </a:rPr>
              <a:t>Comparison of SO</a:t>
            </a:r>
            <a:r>
              <a:rPr lang="en-US" cap="none" sz="375" b="1" i="0" u="none" baseline="-25000">
                <a:latin typeface="Arial"/>
                <a:ea typeface="Arial"/>
                <a:cs typeface="Arial"/>
              </a:rPr>
              <a:t>2</a:t>
            </a:r>
            <a:r>
              <a:rPr lang="en-US" cap="none" sz="375" b="1" i="0" u="none" baseline="0">
                <a:latin typeface="Arial"/>
                <a:ea typeface="Arial"/>
                <a:cs typeface="Arial"/>
              </a:rPr>
              <a:t> Emissions from Electric Utilities and Recycling Reductions (Metric Tons)</a:t>
            </a:r>
          </a:p>
        </c:rich>
      </c:tx>
      <c:layout/>
      <c:spPr>
        <a:noFill/>
        <a:ln>
          <a:noFill/>
        </a:ln>
      </c:spPr>
    </c:title>
    <c:plotArea>
      <c:layout/>
      <c:barChart>
        <c:barDir val="col"/>
        <c:grouping val="clustered"/>
        <c:varyColors val="0"/>
        <c:ser>
          <c:idx val="0"/>
          <c:order val="0"/>
          <c:spPr>
            <a:solidFill>
              <a:srgbClr val="FFFF00"/>
            </a:solidFill>
          </c:spPr>
          <c:invertIfNegative val="0"/>
          <c:extLst>
            <c:ext xmlns:c14="http://schemas.microsoft.com/office/drawing/2007/8/2/chart" uri="{6F2FDCE9-48DA-4B69-8628-5D25D57E5C99}">
              <c14:invertSolidFillFmt>
                <c14:spPr>
                  <a:solidFill>
                    <a:srgbClr val="FFFFFF"/>
                  </a:solidFill>
                </c14:spPr>
              </c14:invertSolidFillFmt>
            </c:ext>
          </c:extLst>
          <c:cat>
            <c:strRef>
              <c:f>'Wksht 4. Calculations'!#REF!</c:f>
              <c:strCache>
                <c:ptCount val="1"/>
                <c:pt idx="0">
                  <c:v>1</c:v>
                </c:pt>
              </c:strCache>
            </c:strRef>
          </c:cat>
          <c:val>
            <c:numRef>
              <c:f>'Wksht 4. Calculations'!#REF!</c:f>
              <c:numCache>
                <c:ptCount val="1"/>
                <c:pt idx="0">
                  <c:v>1</c:v>
                </c:pt>
              </c:numCache>
            </c:numRef>
          </c:val>
        </c:ser>
        <c:axId val="13728748"/>
        <c:axId val="56449869"/>
      </c:barChart>
      <c:catAx>
        <c:axId val="13728748"/>
        <c:scaling>
          <c:orientation val="minMax"/>
        </c:scaling>
        <c:axPos val="b"/>
        <c:delete val="0"/>
        <c:numFmt formatCode="General" sourceLinked="1"/>
        <c:majorTickMark val="out"/>
        <c:minorTickMark val="none"/>
        <c:tickLblPos val="nextTo"/>
        <c:txPr>
          <a:bodyPr/>
          <a:lstStyle/>
          <a:p>
            <a:pPr>
              <a:defRPr lang="en-US" cap="none" sz="325" b="1" i="0" u="none" baseline="0">
                <a:latin typeface="Arial"/>
                <a:ea typeface="Arial"/>
                <a:cs typeface="Arial"/>
              </a:defRPr>
            </a:pPr>
          </a:p>
        </c:txPr>
        <c:crossAx val="56449869"/>
        <c:crosses val="autoZero"/>
        <c:auto val="1"/>
        <c:lblOffset val="100"/>
        <c:noMultiLvlLbl val="0"/>
      </c:catAx>
      <c:valAx>
        <c:axId val="56449869"/>
        <c:scaling>
          <c:orientation val="minMax"/>
        </c:scaling>
        <c:axPos val="l"/>
        <c:delete val="0"/>
        <c:numFmt formatCode="General" sourceLinked="1"/>
        <c:majorTickMark val="out"/>
        <c:minorTickMark val="none"/>
        <c:tickLblPos val="nextTo"/>
        <c:crossAx val="13728748"/>
        <c:crossesAt val="1"/>
        <c:crossBetween val="between"/>
        <c:dispUnits/>
      </c:valAx>
      <c:spPr>
        <a:solidFill>
          <a:srgbClr val="FFFFFF"/>
        </a:solidFill>
        <a:ln w="3175">
          <a:noFill/>
        </a:ln>
      </c:spPr>
    </c:plotArea>
    <c:plotVisOnly val="1"/>
    <c:dispBlanksAs val="gap"/>
    <c:showDLblsOverMax val="0"/>
  </c:chart>
  <c:txPr>
    <a:bodyPr vert="horz" rot="0"/>
    <a:lstStyle/>
    <a:p>
      <a:pPr>
        <a:defRPr lang="en-US" cap="none" sz="325"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latin typeface="Arial"/>
                <a:ea typeface="Arial"/>
                <a:cs typeface="Arial"/>
              </a:rPr>
              <a:t>Impacts of Recycling and Disposal on Energy Use 
(Million BTU/Year)</a:t>
            </a:r>
          </a:p>
        </c:rich>
      </c:tx>
      <c:layout>
        <c:manualLayout>
          <c:xMode val="factor"/>
          <c:yMode val="factor"/>
          <c:x val="0.00525"/>
          <c:y val="-0.00125"/>
        </c:manualLayout>
      </c:layout>
      <c:spPr>
        <a:noFill/>
        <a:ln>
          <a:noFill/>
        </a:ln>
      </c:spPr>
    </c:title>
    <c:plotArea>
      <c:layout>
        <c:manualLayout>
          <c:xMode val="edge"/>
          <c:yMode val="edge"/>
          <c:x val="0.012"/>
          <c:y val="0.127"/>
          <c:w val="0.976"/>
          <c:h val="0.7595"/>
        </c:manualLayout>
      </c:layout>
      <c:barChart>
        <c:barDir val="col"/>
        <c:grouping val="clustered"/>
        <c:varyColors val="0"/>
        <c:ser>
          <c:idx val="0"/>
          <c:order val="0"/>
          <c:spPr>
            <a:solidFill>
              <a:srgbClr val="FFFF99"/>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0"/>
              <c:tx>
                <c:rich>
                  <a:bodyPr vert="horz" rot="0" anchor="ctr"/>
                  <a:lstStyle/>
                  <a:p>
                    <a:pPr algn="ctr">
                      <a:defRPr/>
                    </a:pPr>
                    <a:r>
                      <a:rPr lang="en-US" cap="none" sz="1600" b="1" i="0" u="none" baseline="0">
                        <a:latin typeface="Arial"/>
                        <a:ea typeface="Arial"/>
                        <a:cs typeface="Arial"/>
                      </a:rPr>
                      <a:t>Energy Use from Recycling</a:t>
                    </a:r>
                  </a:p>
                </c:rich>
              </c:tx>
              <c:numFmt formatCode="General" sourceLinked="1"/>
              <c:showLegendKey val="0"/>
              <c:showVal val="0"/>
              <c:showBubbleSize val="0"/>
              <c:showCatName val="1"/>
              <c:showSerName val="0"/>
              <c:showPercent val="0"/>
            </c:dLbl>
            <c:dLbl>
              <c:idx val="1"/>
              <c:tx>
                <c:rich>
                  <a:bodyPr vert="horz" rot="0" anchor="ctr"/>
                  <a:lstStyle/>
                  <a:p>
                    <a:pPr algn="ctr">
                      <a:defRPr/>
                    </a:pPr>
                    <a:r>
                      <a:rPr lang="en-US" cap="none" sz="1600" b="1" i="0" u="none" baseline="0">
                        <a:latin typeface="Arial"/>
                        <a:ea typeface="Arial"/>
                        <a:cs typeface="Arial"/>
                      </a:rPr>
                      <a:t>Energy Use if Recyclables had been Disposed</a:t>
                    </a:r>
                  </a:p>
                </c:rich>
              </c:tx>
              <c:numFmt formatCode="General" sourceLinked="1"/>
              <c:showLegendKey val="0"/>
              <c:showVal val="0"/>
              <c:showBubbleSize val="0"/>
              <c:showCatName val="1"/>
              <c:showSerName val="0"/>
              <c:showPercent val="0"/>
            </c:dLbl>
            <c:dLbl>
              <c:idx val="2"/>
              <c:tx>
                <c:rich>
                  <a:bodyPr vert="horz" rot="0" anchor="ctr"/>
                  <a:lstStyle/>
                  <a:p>
                    <a:pPr algn="ctr">
                      <a:defRPr/>
                    </a:pPr>
                    <a:r>
                      <a:rPr lang="en-US" cap="none" sz="1600" b="1" i="0" u="none" baseline="0">
                        <a:latin typeface="Arial"/>
                        <a:ea typeface="Arial"/>
                        <a:cs typeface="Arial"/>
                      </a:rPr>
                      <a:t>Net Energy Savings from Recycling vs. Disposal*</a:t>
                    </a:r>
                  </a:p>
                </c:rich>
              </c:tx>
              <c:numFmt formatCode="General" sourceLinked="1"/>
              <c:showLegendKey val="0"/>
              <c:showVal val="0"/>
              <c:showBubbleSize val="0"/>
              <c:showCatName val="1"/>
              <c:showSerName val="0"/>
              <c:showPercent val="0"/>
            </c:dLbl>
            <c:numFmt formatCode="General" sourceLinked="1"/>
            <c:txPr>
              <a:bodyPr vert="horz" rot="0" anchor="ctr"/>
              <a:lstStyle/>
              <a:p>
                <a:pPr algn="ctr">
                  <a:defRPr lang="en-US" cap="none" sz="1600" b="1" i="0" u="none" baseline="0">
                    <a:latin typeface="Arial"/>
                    <a:ea typeface="Arial"/>
                    <a:cs typeface="Arial"/>
                  </a:defRPr>
                </a:pPr>
              </a:p>
            </c:txPr>
            <c:showLegendKey val="0"/>
            <c:showVal val="0"/>
            <c:showBubbleSize val="0"/>
            <c:showCatName val="1"/>
            <c:showSerName val="0"/>
            <c:showPercent val="0"/>
          </c:dLbls>
          <c:cat>
            <c:strRef>
              <c:f>'Wksht 4. Calculations'!$A$56:$A$58</c:f>
              <c:strCache>
                <c:ptCount val="3"/>
                <c:pt idx="0">
                  <c:v>Net Energy from Recycling</c:v>
                </c:pt>
                <c:pt idx="1">
                  <c:v>Net Energy from Disposal</c:v>
                </c:pt>
                <c:pt idx="2">
                  <c:v>Energy Savings Due to Recycling</c:v>
                </c:pt>
              </c:strCache>
            </c:strRef>
          </c:cat>
          <c:val>
            <c:numRef>
              <c:f>'Wksht 4. Calculations'!$B$56:$B$58</c:f>
              <c:numCache>
                <c:ptCount val="3"/>
                <c:pt idx="0">
                  <c:v>-117262884.80437687</c:v>
                </c:pt>
                <c:pt idx="1">
                  <c:v>0</c:v>
                </c:pt>
                <c:pt idx="2">
                  <c:v>0</c:v>
                </c:pt>
              </c:numCache>
            </c:numRef>
          </c:val>
        </c:ser>
        <c:axId val="38286774"/>
        <c:axId val="9036647"/>
      </c:barChart>
      <c:catAx>
        <c:axId val="38286774"/>
        <c:scaling>
          <c:orientation val="minMax"/>
        </c:scaling>
        <c:axPos val="b"/>
        <c:delete val="0"/>
        <c:numFmt formatCode="General" sourceLinked="1"/>
        <c:majorTickMark val="out"/>
        <c:minorTickMark val="none"/>
        <c:tickLblPos val="none"/>
        <c:spPr>
          <a:ln w="3175">
            <a:noFill/>
          </a:ln>
        </c:spPr>
        <c:crossAx val="9036647"/>
        <c:crosses val="autoZero"/>
        <c:auto val="1"/>
        <c:lblOffset val="100"/>
        <c:noMultiLvlLbl val="0"/>
      </c:catAx>
      <c:valAx>
        <c:axId val="9036647"/>
        <c:scaling>
          <c:orientation val="minMax"/>
        </c:scaling>
        <c:axPos val="l"/>
        <c:delete val="0"/>
        <c:numFmt formatCode="General" sourceLinked="1"/>
        <c:majorTickMark val="out"/>
        <c:minorTickMark val="none"/>
        <c:tickLblPos val="nextTo"/>
        <c:txPr>
          <a:bodyPr/>
          <a:lstStyle/>
          <a:p>
            <a:pPr>
              <a:defRPr lang="en-US" cap="none" sz="1600" b="0" i="0" u="none" baseline="0">
                <a:latin typeface="Arial"/>
                <a:ea typeface="Arial"/>
                <a:cs typeface="Arial"/>
              </a:defRPr>
            </a:pPr>
          </a:p>
        </c:txPr>
        <c:crossAx val="38286774"/>
        <c:crossesAt val="1"/>
        <c:crossBetween val="between"/>
        <c:dispUnits/>
      </c:valAx>
      <c:spPr>
        <a:solidFill>
          <a:srgbClr val="FFFFFF"/>
        </a:solidFill>
        <a:ln w="3175">
          <a:noFill/>
        </a:ln>
      </c:spPr>
    </c:plotArea>
    <c:plotVisOnly val="1"/>
    <c:dispBlanksAs val="gap"/>
    <c:showDLblsOverMax val="0"/>
  </c:chart>
  <c:txPr>
    <a:bodyPr vert="horz" rot="0"/>
    <a:lstStyle/>
    <a:p>
      <a:pPr>
        <a:defRPr lang="en-US" cap="none" sz="3000"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400" b="1" i="0" u="none" baseline="0">
                <a:latin typeface="Arial"/>
                <a:ea typeface="Arial"/>
                <a:cs typeface="Arial"/>
              </a:rPr>
              <a:t>Comparison of CO</a:t>
            </a:r>
            <a:r>
              <a:rPr lang="en-US" cap="none" sz="400" b="1" i="0" u="none" baseline="-25000">
                <a:latin typeface="Arial"/>
                <a:ea typeface="Arial"/>
                <a:cs typeface="Arial"/>
              </a:rPr>
              <a:t>2</a:t>
            </a:r>
            <a:r>
              <a:rPr lang="en-US" cap="none" sz="400" b="1" i="0" u="none" baseline="0">
                <a:latin typeface="Arial"/>
                <a:ea typeface="Arial"/>
                <a:cs typeface="Arial"/>
              </a:rPr>
              <a:t> Emissions from Electric Utilities and Recycling Reductions (Metric Tons)</a:t>
            </a:r>
          </a:p>
        </c:rich>
      </c:tx>
      <c:layout/>
      <c:spPr>
        <a:noFill/>
        <a:ln>
          <a:noFill/>
        </a:ln>
      </c:spPr>
    </c:title>
    <c:plotArea>
      <c:layout/>
      <c:barChart>
        <c:barDir val="col"/>
        <c:grouping val="clustered"/>
        <c:varyColors val="0"/>
        <c:ser>
          <c:idx val="0"/>
          <c:order val="0"/>
          <c:tx>
            <c:v>Emissions from Electrical Utilities Reduced Emissions Due to Recycling</c:v>
          </c:tx>
          <c:spPr>
            <a:solidFill>
              <a:srgbClr val="FFFF00"/>
            </a:solidFill>
          </c:spPr>
          <c:invertIfNegative val="0"/>
          <c:extLst>
            <c:ext xmlns:c14="http://schemas.microsoft.com/office/drawing/2007/8/2/chart" uri="{6F2FDCE9-48DA-4B69-8628-5D25D57E5C99}">
              <c14:invertSolidFillFmt>
                <c14:spPr>
                  <a:solidFill>
                    <a:srgbClr val="FFFFFF"/>
                  </a:solidFill>
                </c14:spPr>
              </c14:invertSolidFillFmt>
            </c:ext>
          </c:extLst>
          <c:cat>
            <c:strRef>
              <c:f>'Wksht 4. Calculations'!#REF!</c:f>
              <c:strCache>
                <c:ptCount val="1"/>
                <c:pt idx="0">
                  <c:v>1</c:v>
                </c:pt>
              </c:strCache>
            </c:strRef>
          </c:cat>
          <c:val>
            <c:numRef>
              <c:f>'Wksht 4. Calculations'!#REF!</c:f>
              <c:numCache>
                <c:ptCount val="1"/>
                <c:pt idx="0">
                  <c:v>1</c:v>
                </c:pt>
              </c:numCache>
            </c:numRef>
          </c:val>
        </c:ser>
        <c:axId val="14220960"/>
        <c:axId val="60879777"/>
      </c:barChart>
      <c:catAx>
        <c:axId val="14220960"/>
        <c:scaling>
          <c:orientation val="minMax"/>
        </c:scaling>
        <c:axPos val="b"/>
        <c:delete val="0"/>
        <c:numFmt formatCode="General" sourceLinked="1"/>
        <c:majorTickMark val="out"/>
        <c:minorTickMark val="none"/>
        <c:tickLblPos val="nextTo"/>
        <c:txPr>
          <a:bodyPr/>
          <a:lstStyle/>
          <a:p>
            <a:pPr>
              <a:defRPr lang="en-US" cap="none" sz="350" b="1" i="0" u="none" baseline="0">
                <a:latin typeface="Arial"/>
                <a:ea typeface="Arial"/>
                <a:cs typeface="Arial"/>
              </a:defRPr>
            </a:pPr>
          </a:p>
        </c:txPr>
        <c:crossAx val="60879777"/>
        <c:crosses val="autoZero"/>
        <c:auto val="1"/>
        <c:lblOffset val="100"/>
        <c:noMultiLvlLbl val="0"/>
      </c:catAx>
      <c:valAx>
        <c:axId val="60879777"/>
        <c:scaling>
          <c:orientation val="minMax"/>
          <c:max val="20000000000"/>
        </c:scaling>
        <c:axPos val="l"/>
        <c:delete val="0"/>
        <c:numFmt formatCode="General" sourceLinked="1"/>
        <c:majorTickMark val="out"/>
        <c:minorTickMark val="none"/>
        <c:tickLblPos val="nextTo"/>
        <c:txPr>
          <a:bodyPr/>
          <a:lstStyle/>
          <a:p>
            <a:pPr>
              <a:defRPr lang="en-US" cap="none" sz="350" b="0" i="0" u="none" baseline="0">
                <a:latin typeface="Arial"/>
                <a:ea typeface="Arial"/>
                <a:cs typeface="Arial"/>
              </a:defRPr>
            </a:pPr>
          </a:p>
        </c:txPr>
        <c:crossAx val="14220960"/>
        <c:crossesAt val="1"/>
        <c:crossBetween val="between"/>
        <c:dispUnits/>
      </c:valAx>
      <c:spPr>
        <a:solidFill>
          <a:srgbClr val="FFFFFF"/>
        </a:solidFill>
        <a:ln w="3175">
          <a:noFill/>
        </a:ln>
      </c:spPr>
    </c:plotArea>
    <c:plotVisOnly val="1"/>
    <c:dispBlanksAs val="gap"/>
    <c:showDLblsOverMax val="0"/>
  </c:chart>
  <c:txPr>
    <a:bodyPr vert="horz" rot="0"/>
    <a:lstStyle/>
    <a:p>
      <a:pPr>
        <a:defRPr lang="en-US" cap="none" sz="325"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 Id="rId11" Type="http://schemas.openxmlformats.org/officeDocument/2006/relationships/chart" Target="/xl/charts/chart11.xml" /><Relationship Id="rId12" Type="http://schemas.openxmlformats.org/officeDocument/2006/relationships/chart" Target="/xl/charts/chart12.xml" /><Relationship Id="rId13" Type="http://schemas.openxmlformats.org/officeDocument/2006/relationships/chart" Target="/xl/charts/chart13.xml" /><Relationship Id="rId14" Type="http://schemas.openxmlformats.org/officeDocument/2006/relationships/chart" Target="/xl/charts/chart14.xml" /><Relationship Id="rId15" Type="http://schemas.openxmlformats.org/officeDocument/2006/relationships/chart" Target="/xl/charts/chart15.xml" /><Relationship Id="rId16" Type="http://schemas.openxmlformats.org/officeDocument/2006/relationships/chart" Target="/xl/charts/chart16.xml" /><Relationship Id="rId17" Type="http://schemas.openxmlformats.org/officeDocument/2006/relationships/chart" Target="/xl/charts/chart17.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361950</xdr:colOff>
      <xdr:row>256</xdr:row>
      <xdr:rowOff>38100</xdr:rowOff>
    </xdr:from>
    <xdr:to>
      <xdr:col>8</xdr:col>
      <xdr:colOff>152400</xdr:colOff>
      <xdr:row>296</xdr:row>
      <xdr:rowOff>142875</xdr:rowOff>
    </xdr:to>
    <xdr:graphicFrame>
      <xdr:nvGraphicFramePr>
        <xdr:cNvPr id="1" name="Chart 7"/>
        <xdr:cNvGraphicFramePr/>
      </xdr:nvGraphicFramePr>
      <xdr:xfrm>
        <a:off x="361950" y="45377100"/>
        <a:ext cx="11049000" cy="6581775"/>
      </xdr:xfrm>
      <a:graphic>
        <a:graphicData uri="http://schemas.openxmlformats.org/drawingml/2006/chart">
          <c:chart xmlns:c="http://schemas.openxmlformats.org/drawingml/2006/chart" r:id="rId1"/>
        </a:graphicData>
      </a:graphic>
    </xdr:graphicFrame>
    <xdr:clientData/>
  </xdr:twoCellAnchor>
  <xdr:twoCellAnchor>
    <xdr:from>
      <xdr:col>0</xdr:col>
      <xdr:colOff>200025</xdr:colOff>
      <xdr:row>653</xdr:row>
      <xdr:rowOff>9525</xdr:rowOff>
    </xdr:from>
    <xdr:to>
      <xdr:col>6</xdr:col>
      <xdr:colOff>1323975</xdr:colOff>
      <xdr:row>674</xdr:row>
      <xdr:rowOff>114300</xdr:rowOff>
    </xdr:to>
    <xdr:graphicFrame>
      <xdr:nvGraphicFramePr>
        <xdr:cNvPr id="2" name="Chart 10"/>
        <xdr:cNvGraphicFramePr/>
      </xdr:nvGraphicFramePr>
      <xdr:xfrm>
        <a:off x="200025" y="119538750"/>
        <a:ext cx="9839325" cy="3705225"/>
      </xdr:xfrm>
      <a:graphic>
        <a:graphicData uri="http://schemas.openxmlformats.org/drawingml/2006/chart">
          <c:chart xmlns:c="http://schemas.openxmlformats.org/drawingml/2006/chart" r:id="rId2"/>
        </a:graphicData>
      </a:graphic>
    </xdr:graphicFrame>
    <xdr:clientData/>
  </xdr:twoCellAnchor>
  <xdr:twoCellAnchor>
    <xdr:from>
      <xdr:col>0</xdr:col>
      <xdr:colOff>219075</xdr:colOff>
      <xdr:row>870</xdr:row>
      <xdr:rowOff>0</xdr:rowOff>
    </xdr:from>
    <xdr:to>
      <xdr:col>5</xdr:col>
      <xdr:colOff>1104900</xdr:colOff>
      <xdr:row>870</xdr:row>
      <xdr:rowOff>0</xdr:rowOff>
    </xdr:to>
    <xdr:graphicFrame>
      <xdr:nvGraphicFramePr>
        <xdr:cNvPr id="3" name="Chart 16"/>
        <xdr:cNvGraphicFramePr/>
      </xdr:nvGraphicFramePr>
      <xdr:xfrm>
        <a:off x="219075" y="157152975"/>
        <a:ext cx="8486775" cy="0"/>
      </xdr:xfrm>
      <a:graphic>
        <a:graphicData uri="http://schemas.openxmlformats.org/drawingml/2006/chart">
          <c:chart xmlns:c="http://schemas.openxmlformats.org/drawingml/2006/chart" r:id="rId3"/>
        </a:graphicData>
      </a:graphic>
    </xdr:graphicFrame>
    <xdr:clientData/>
  </xdr:twoCellAnchor>
  <xdr:twoCellAnchor>
    <xdr:from>
      <xdr:col>0</xdr:col>
      <xdr:colOff>219075</xdr:colOff>
      <xdr:row>675</xdr:row>
      <xdr:rowOff>123825</xdr:rowOff>
    </xdr:from>
    <xdr:to>
      <xdr:col>6</xdr:col>
      <xdr:colOff>1323975</xdr:colOff>
      <xdr:row>701</xdr:row>
      <xdr:rowOff>85725</xdr:rowOff>
    </xdr:to>
    <xdr:graphicFrame>
      <xdr:nvGraphicFramePr>
        <xdr:cNvPr id="4" name="Chart 19"/>
        <xdr:cNvGraphicFramePr/>
      </xdr:nvGraphicFramePr>
      <xdr:xfrm>
        <a:off x="219075" y="123424950"/>
        <a:ext cx="9820275" cy="4210050"/>
      </xdr:xfrm>
      <a:graphic>
        <a:graphicData uri="http://schemas.openxmlformats.org/drawingml/2006/chart">
          <c:chart xmlns:c="http://schemas.openxmlformats.org/drawingml/2006/chart" r:id="rId4"/>
        </a:graphicData>
      </a:graphic>
    </xdr:graphicFrame>
    <xdr:clientData/>
  </xdr:twoCellAnchor>
  <xdr:twoCellAnchor>
    <xdr:from>
      <xdr:col>0</xdr:col>
      <xdr:colOff>180975</xdr:colOff>
      <xdr:row>870</xdr:row>
      <xdr:rowOff>0</xdr:rowOff>
    </xdr:from>
    <xdr:to>
      <xdr:col>8</xdr:col>
      <xdr:colOff>0</xdr:colOff>
      <xdr:row>870</xdr:row>
      <xdr:rowOff>0</xdr:rowOff>
    </xdr:to>
    <xdr:graphicFrame>
      <xdr:nvGraphicFramePr>
        <xdr:cNvPr id="5" name="Chart 20"/>
        <xdr:cNvGraphicFramePr/>
      </xdr:nvGraphicFramePr>
      <xdr:xfrm>
        <a:off x="180975" y="157152975"/>
        <a:ext cx="11077575" cy="0"/>
      </xdr:xfrm>
      <a:graphic>
        <a:graphicData uri="http://schemas.openxmlformats.org/drawingml/2006/chart">
          <c:chart xmlns:c="http://schemas.openxmlformats.org/drawingml/2006/chart" r:id="rId5"/>
        </a:graphicData>
      </a:graphic>
    </xdr:graphicFrame>
    <xdr:clientData/>
  </xdr:twoCellAnchor>
  <xdr:twoCellAnchor>
    <xdr:from>
      <xdr:col>0</xdr:col>
      <xdr:colOff>228600</xdr:colOff>
      <xdr:row>870</xdr:row>
      <xdr:rowOff>0</xdr:rowOff>
    </xdr:from>
    <xdr:to>
      <xdr:col>8</xdr:col>
      <xdr:colOff>9525</xdr:colOff>
      <xdr:row>870</xdr:row>
      <xdr:rowOff>0</xdr:rowOff>
    </xdr:to>
    <xdr:graphicFrame>
      <xdr:nvGraphicFramePr>
        <xdr:cNvPr id="6" name="Chart 21"/>
        <xdr:cNvGraphicFramePr/>
      </xdr:nvGraphicFramePr>
      <xdr:xfrm>
        <a:off x="228600" y="157152975"/>
        <a:ext cx="11039475" cy="0"/>
      </xdr:xfrm>
      <a:graphic>
        <a:graphicData uri="http://schemas.openxmlformats.org/drawingml/2006/chart">
          <c:chart xmlns:c="http://schemas.openxmlformats.org/drawingml/2006/chart" r:id="rId6"/>
        </a:graphicData>
      </a:graphic>
    </xdr:graphicFrame>
    <xdr:clientData/>
  </xdr:twoCellAnchor>
  <xdr:twoCellAnchor>
    <xdr:from>
      <xdr:col>0</xdr:col>
      <xdr:colOff>228600</xdr:colOff>
      <xdr:row>870</xdr:row>
      <xdr:rowOff>0</xdr:rowOff>
    </xdr:from>
    <xdr:to>
      <xdr:col>6</xdr:col>
      <xdr:colOff>9525</xdr:colOff>
      <xdr:row>870</xdr:row>
      <xdr:rowOff>0</xdr:rowOff>
    </xdr:to>
    <xdr:graphicFrame>
      <xdr:nvGraphicFramePr>
        <xdr:cNvPr id="7" name="Chart 22"/>
        <xdr:cNvGraphicFramePr/>
      </xdr:nvGraphicFramePr>
      <xdr:xfrm>
        <a:off x="228600" y="157152975"/>
        <a:ext cx="8496300" cy="0"/>
      </xdr:xfrm>
      <a:graphic>
        <a:graphicData uri="http://schemas.openxmlformats.org/drawingml/2006/chart">
          <c:chart xmlns:c="http://schemas.openxmlformats.org/drawingml/2006/chart" r:id="rId7"/>
        </a:graphicData>
      </a:graphic>
    </xdr:graphicFrame>
    <xdr:clientData/>
  </xdr:twoCellAnchor>
  <xdr:twoCellAnchor>
    <xdr:from>
      <xdr:col>0</xdr:col>
      <xdr:colOff>485775</xdr:colOff>
      <xdr:row>297</xdr:row>
      <xdr:rowOff>123825</xdr:rowOff>
    </xdr:from>
    <xdr:to>
      <xdr:col>8</xdr:col>
      <xdr:colOff>114300</xdr:colOff>
      <xdr:row>300</xdr:row>
      <xdr:rowOff>142875</xdr:rowOff>
    </xdr:to>
    <xdr:sp>
      <xdr:nvSpPr>
        <xdr:cNvPr id="8" name="TextBox 150"/>
        <xdr:cNvSpPr txBox="1">
          <a:spLocks noChangeArrowheads="1"/>
        </xdr:cNvSpPr>
      </xdr:nvSpPr>
      <xdr:spPr>
        <a:xfrm>
          <a:off x="485775" y="52101750"/>
          <a:ext cx="10887075" cy="504825"/>
        </a:xfrm>
        <a:prstGeom prst="rect">
          <a:avLst/>
        </a:prstGeom>
        <a:noFill/>
        <a:ln w="9525" cmpd="sng">
          <a:noFill/>
        </a:ln>
      </xdr:spPr>
      <xdr:txBody>
        <a:bodyPr vertOverflow="clip" wrap="square"/>
        <a:p>
          <a:pPr algn="l">
            <a:defRPr/>
          </a:pPr>
          <a:r>
            <a:rPr lang="en-US" cap="none" sz="1200" b="0" i="0" u="none" baseline="0">
              <a:latin typeface="Arial"/>
              <a:ea typeface="Arial"/>
              <a:cs typeface="Arial"/>
            </a:rPr>
            <a:t>*A negative value for disposal may be due to the following factors: 1) avoided greenhouse gas emissions at electric utilities due to energy production at landfills (using recovered methane) or waste incineration facilities; and/or 2) long-term storage of carbon in landfills.</a:t>
          </a:r>
          <a:r>
            <a:rPr lang="en-US" cap="none" sz="900" b="0" i="0" u="none" baseline="0">
              <a:latin typeface="Arial"/>
              <a:ea typeface="Arial"/>
              <a:cs typeface="Arial"/>
            </a:rPr>
            <a:t>  </a:t>
          </a:r>
        </a:p>
      </xdr:txBody>
    </xdr:sp>
    <xdr:clientData/>
  </xdr:twoCellAnchor>
  <xdr:twoCellAnchor>
    <xdr:from>
      <xdr:col>0</xdr:col>
      <xdr:colOff>266700</xdr:colOff>
      <xdr:row>516</xdr:row>
      <xdr:rowOff>9525</xdr:rowOff>
    </xdr:from>
    <xdr:to>
      <xdr:col>8</xdr:col>
      <xdr:colOff>304800</xdr:colOff>
      <xdr:row>565</xdr:row>
      <xdr:rowOff>0</xdr:rowOff>
    </xdr:to>
    <xdr:graphicFrame>
      <xdr:nvGraphicFramePr>
        <xdr:cNvPr id="9" name="Chart 176"/>
        <xdr:cNvGraphicFramePr/>
      </xdr:nvGraphicFramePr>
      <xdr:xfrm>
        <a:off x="266700" y="93745050"/>
        <a:ext cx="11296650" cy="7924800"/>
      </xdr:xfrm>
      <a:graphic>
        <a:graphicData uri="http://schemas.openxmlformats.org/drawingml/2006/chart">
          <c:chart xmlns:c="http://schemas.openxmlformats.org/drawingml/2006/chart" r:id="rId8"/>
        </a:graphicData>
      </a:graphic>
    </xdr:graphicFrame>
    <xdr:clientData/>
  </xdr:twoCellAnchor>
  <xdr:twoCellAnchor>
    <xdr:from>
      <xdr:col>0</xdr:col>
      <xdr:colOff>171450</xdr:colOff>
      <xdr:row>870</xdr:row>
      <xdr:rowOff>0</xdr:rowOff>
    </xdr:from>
    <xdr:to>
      <xdr:col>5</xdr:col>
      <xdr:colOff>1104900</xdr:colOff>
      <xdr:row>870</xdr:row>
      <xdr:rowOff>0</xdr:rowOff>
    </xdr:to>
    <xdr:graphicFrame>
      <xdr:nvGraphicFramePr>
        <xdr:cNvPr id="10" name="Chart 294"/>
        <xdr:cNvGraphicFramePr/>
      </xdr:nvGraphicFramePr>
      <xdr:xfrm>
        <a:off x="171450" y="157152975"/>
        <a:ext cx="8534400" cy="0"/>
      </xdr:xfrm>
      <a:graphic>
        <a:graphicData uri="http://schemas.openxmlformats.org/drawingml/2006/chart">
          <c:chart xmlns:c="http://schemas.openxmlformats.org/drawingml/2006/chart" r:id="rId9"/>
        </a:graphicData>
      </a:graphic>
    </xdr:graphicFrame>
    <xdr:clientData/>
  </xdr:twoCellAnchor>
  <xdr:twoCellAnchor>
    <xdr:from>
      <xdr:col>0</xdr:col>
      <xdr:colOff>276225</xdr:colOff>
      <xdr:row>565</xdr:row>
      <xdr:rowOff>114300</xdr:rowOff>
    </xdr:from>
    <xdr:to>
      <xdr:col>8</xdr:col>
      <xdr:colOff>200025</xdr:colOff>
      <xdr:row>568</xdr:row>
      <xdr:rowOff>0</xdr:rowOff>
    </xdr:to>
    <xdr:sp>
      <xdr:nvSpPr>
        <xdr:cNvPr id="11" name="TextBox 306"/>
        <xdr:cNvSpPr txBox="1">
          <a:spLocks noChangeArrowheads="1"/>
        </xdr:cNvSpPr>
      </xdr:nvSpPr>
      <xdr:spPr>
        <a:xfrm>
          <a:off x="276225" y="101784150"/>
          <a:ext cx="11182350" cy="371475"/>
        </a:xfrm>
        <a:prstGeom prst="rect">
          <a:avLst/>
        </a:prstGeom>
        <a:noFill/>
        <a:ln w="9525" cmpd="sng">
          <a:noFill/>
        </a:ln>
      </xdr:spPr>
      <xdr:txBody>
        <a:bodyPr vertOverflow="clip" wrap="square"/>
        <a:p>
          <a:pPr algn="l">
            <a:defRPr/>
          </a:pPr>
          <a:r>
            <a:rPr lang="en-US" cap="none" sz="1200" b="0" i="0" u="none" baseline="0">
              <a:latin typeface="Arial"/>
              <a:ea typeface="Arial"/>
              <a:cs typeface="Arial"/>
            </a:rPr>
            <a:t>*A negative value for disposal is due to avoided energy use for electricity generation resulting from energy production at landfills (using recovered methane) and/or waste incineration facilities.</a:t>
          </a:r>
        </a:p>
      </xdr:txBody>
    </xdr:sp>
    <xdr:clientData/>
  </xdr:twoCellAnchor>
  <xdr:twoCellAnchor>
    <xdr:from>
      <xdr:col>4</xdr:col>
      <xdr:colOff>257175</xdr:colOff>
      <xdr:row>58</xdr:row>
      <xdr:rowOff>28575</xdr:rowOff>
    </xdr:from>
    <xdr:to>
      <xdr:col>8</xdr:col>
      <xdr:colOff>1266825</xdr:colOff>
      <xdr:row>81</xdr:row>
      <xdr:rowOff>152400</xdr:rowOff>
    </xdr:to>
    <xdr:graphicFrame>
      <xdr:nvGraphicFramePr>
        <xdr:cNvPr id="12" name="Chart 924"/>
        <xdr:cNvGraphicFramePr/>
      </xdr:nvGraphicFramePr>
      <xdr:xfrm>
        <a:off x="6572250" y="10896600"/>
        <a:ext cx="5953125" cy="3848100"/>
      </xdr:xfrm>
      <a:graphic>
        <a:graphicData uri="http://schemas.openxmlformats.org/drawingml/2006/chart">
          <c:chart xmlns:c="http://schemas.openxmlformats.org/drawingml/2006/chart" r:id="rId10"/>
        </a:graphicData>
      </a:graphic>
    </xdr:graphicFrame>
    <xdr:clientData/>
  </xdr:twoCellAnchor>
  <xdr:twoCellAnchor>
    <xdr:from>
      <xdr:col>0</xdr:col>
      <xdr:colOff>190500</xdr:colOff>
      <xdr:row>58</xdr:row>
      <xdr:rowOff>38100</xdr:rowOff>
    </xdr:from>
    <xdr:to>
      <xdr:col>3</xdr:col>
      <xdr:colOff>1028700</xdr:colOff>
      <xdr:row>81</xdr:row>
      <xdr:rowOff>152400</xdr:rowOff>
    </xdr:to>
    <xdr:graphicFrame>
      <xdr:nvGraphicFramePr>
        <xdr:cNvPr id="13" name="Chart 925"/>
        <xdr:cNvGraphicFramePr/>
      </xdr:nvGraphicFramePr>
      <xdr:xfrm>
        <a:off x="190500" y="10906125"/>
        <a:ext cx="5953125" cy="3838575"/>
      </xdr:xfrm>
      <a:graphic>
        <a:graphicData uri="http://schemas.openxmlformats.org/drawingml/2006/chart">
          <c:chart xmlns:c="http://schemas.openxmlformats.org/drawingml/2006/chart" r:id="rId11"/>
        </a:graphicData>
      </a:graphic>
    </xdr:graphicFrame>
    <xdr:clientData/>
  </xdr:twoCellAnchor>
  <xdr:twoCellAnchor>
    <xdr:from>
      <xdr:col>0</xdr:col>
      <xdr:colOff>219075</xdr:colOff>
      <xdr:row>83</xdr:row>
      <xdr:rowOff>38100</xdr:rowOff>
    </xdr:from>
    <xdr:to>
      <xdr:col>3</xdr:col>
      <xdr:colOff>1019175</xdr:colOff>
      <xdr:row>106</xdr:row>
      <xdr:rowOff>152400</xdr:rowOff>
    </xdr:to>
    <xdr:graphicFrame>
      <xdr:nvGraphicFramePr>
        <xdr:cNvPr id="14" name="Chart 926"/>
        <xdr:cNvGraphicFramePr/>
      </xdr:nvGraphicFramePr>
      <xdr:xfrm>
        <a:off x="219075" y="14954250"/>
        <a:ext cx="5915025" cy="3838575"/>
      </xdr:xfrm>
      <a:graphic>
        <a:graphicData uri="http://schemas.openxmlformats.org/drawingml/2006/chart">
          <c:chart xmlns:c="http://schemas.openxmlformats.org/drawingml/2006/chart" r:id="rId12"/>
        </a:graphicData>
      </a:graphic>
    </xdr:graphicFrame>
    <xdr:clientData/>
  </xdr:twoCellAnchor>
  <xdr:twoCellAnchor>
    <xdr:from>
      <xdr:col>4</xdr:col>
      <xdr:colOff>295275</xdr:colOff>
      <xdr:row>83</xdr:row>
      <xdr:rowOff>38100</xdr:rowOff>
    </xdr:from>
    <xdr:to>
      <xdr:col>8</xdr:col>
      <xdr:colOff>1247775</xdr:colOff>
      <xdr:row>106</xdr:row>
      <xdr:rowOff>142875</xdr:rowOff>
    </xdr:to>
    <xdr:graphicFrame>
      <xdr:nvGraphicFramePr>
        <xdr:cNvPr id="15" name="Chart 961"/>
        <xdr:cNvGraphicFramePr/>
      </xdr:nvGraphicFramePr>
      <xdr:xfrm>
        <a:off x="6610350" y="14954250"/>
        <a:ext cx="5895975" cy="3829050"/>
      </xdr:xfrm>
      <a:graphic>
        <a:graphicData uri="http://schemas.openxmlformats.org/drawingml/2006/chart">
          <c:chart xmlns:c="http://schemas.openxmlformats.org/drawingml/2006/chart" r:id="rId13"/>
        </a:graphicData>
      </a:graphic>
    </xdr:graphicFrame>
    <xdr:clientData/>
  </xdr:twoCellAnchor>
  <xdr:twoCellAnchor>
    <xdr:from>
      <xdr:col>0</xdr:col>
      <xdr:colOff>171450</xdr:colOff>
      <xdr:row>154</xdr:row>
      <xdr:rowOff>0</xdr:rowOff>
    </xdr:from>
    <xdr:to>
      <xdr:col>8</xdr:col>
      <xdr:colOff>295275</xdr:colOff>
      <xdr:row>201</xdr:row>
      <xdr:rowOff>28575</xdr:rowOff>
    </xdr:to>
    <xdr:graphicFrame>
      <xdr:nvGraphicFramePr>
        <xdr:cNvPr id="16" name="Chart 962"/>
        <xdr:cNvGraphicFramePr/>
      </xdr:nvGraphicFramePr>
      <xdr:xfrm>
        <a:off x="171450" y="27774900"/>
        <a:ext cx="11382375" cy="7639050"/>
      </xdr:xfrm>
      <a:graphic>
        <a:graphicData uri="http://schemas.openxmlformats.org/drawingml/2006/chart">
          <c:chart xmlns:c="http://schemas.openxmlformats.org/drawingml/2006/chart" r:id="rId14"/>
        </a:graphicData>
      </a:graphic>
    </xdr:graphicFrame>
    <xdr:clientData/>
  </xdr:twoCellAnchor>
  <xdr:twoCellAnchor>
    <xdr:from>
      <xdr:col>0</xdr:col>
      <xdr:colOff>238125</xdr:colOff>
      <xdr:row>201</xdr:row>
      <xdr:rowOff>123825</xdr:rowOff>
    </xdr:from>
    <xdr:to>
      <xdr:col>8</xdr:col>
      <xdr:colOff>304800</xdr:colOff>
      <xdr:row>204</xdr:row>
      <xdr:rowOff>104775</xdr:rowOff>
    </xdr:to>
    <xdr:sp>
      <xdr:nvSpPr>
        <xdr:cNvPr id="17" name="TextBox 963"/>
        <xdr:cNvSpPr txBox="1">
          <a:spLocks noChangeArrowheads="1"/>
        </xdr:cNvSpPr>
      </xdr:nvSpPr>
      <xdr:spPr>
        <a:xfrm>
          <a:off x="238125" y="35509200"/>
          <a:ext cx="11325225" cy="466725"/>
        </a:xfrm>
        <a:prstGeom prst="rect">
          <a:avLst/>
        </a:prstGeom>
        <a:noFill/>
        <a:ln w="9525" cmpd="sng">
          <a:noFill/>
        </a:ln>
      </xdr:spPr>
      <xdr:txBody>
        <a:bodyPr vertOverflow="clip" wrap="square"/>
        <a:p>
          <a:pPr algn="l">
            <a:defRPr/>
          </a:pPr>
          <a:r>
            <a:rPr lang="en-US" cap="none" sz="1200" b="0" i="0" u="none" baseline="0">
              <a:latin typeface="Arial"/>
              <a:ea typeface="Arial"/>
              <a:cs typeface="Arial"/>
            </a:rPr>
            <a:t>*A negative value for disposal may be due to the following factors: 1) avoided greenhouse gas emissions at electric utilities due to energy production at landfills (using recovered methane) or waste incineration facilities; and/or 2) long-term storage of carbon in landfills.</a:t>
          </a:r>
          <a:r>
            <a:rPr lang="en-US" cap="none" sz="900" b="0" i="0" u="none" baseline="0">
              <a:latin typeface="Arial"/>
              <a:ea typeface="Arial"/>
              <a:cs typeface="Arial"/>
            </a:rPr>
            <a:t>  </a:t>
          </a:r>
        </a:p>
      </xdr:txBody>
    </xdr:sp>
    <xdr:clientData/>
  </xdr:twoCellAnchor>
  <xdr:twoCellAnchor>
    <xdr:from>
      <xdr:col>0</xdr:col>
      <xdr:colOff>114300</xdr:colOff>
      <xdr:row>371</xdr:row>
      <xdr:rowOff>0</xdr:rowOff>
    </xdr:from>
    <xdr:to>
      <xdr:col>8</xdr:col>
      <xdr:colOff>219075</xdr:colOff>
      <xdr:row>419</xdr:row>
      <xdr:rowOff>142875</xdr:rowOff>
    </xdr:to>
    <xdr:graphicFrame>
      <xdr:nvGraphicFramePr>
        <xdr:cNvPr id="18" name="Chart 965"/>
        <xdr:cNvGraphicFramePr/>
      </xdr:nvGraphicFramePr>
      <xdr:xfrm>
        <a:off x="114300" y="66484500"/>
        <a:ext cx="11363325" cy="7915275"/>
      </xdr:xfrm>
      <a:graphic>
        <a:graphicData uri="http://schemas.openxmlformats.org/drawingml/2006/chart">
          <c:chart xmlns:c="http://schemas.openxmlformats.org/drawingml/2006/chart" r:id="rId15"/>
        </a:graphicData>
      </a:graphic>
    </xdr:graphicFrame>
    <xdr:clientData/>
  </xdr:twoCellAnchor>
  <xdr:twoCellAnchor>
    <xdr:from>
      <xdr:col>0</xdr:col>
      <xdr:colOff>161925</xdr:colOff>
      <xdr:row>420</xdr:row>
      <xdr:rowOff>28575</xdr:rowOff>
    </xdr:from>
    <xdr:to>
      <xdr:col>8</xdr:col>
      <xdr:colOff>133350</xdr:colOff>
      <xdr:row>422</xdr:row>
      <xdr:rowOff>76200</xdr:rowOff>
    </xdr:to>
    <xdr:sp>
      <xdr:nvSpPr>
        <xdr:cNvPr id="19" name="TextBox 966"/>
        <xdr:cNvSpPr txBox="1">
          <a:spLocks noChangeArrowheads="1"/>
        </xdr:cNvSpPr>
      </xdr:nvSpPr>
      <xdr:spPr>
        <a:xfrm>
          <a:off x="161925" y="74447400"/>
          <a:ext cx="11229975" cy="371475"/>
        </a:xfrm>
        <a:prstGeom prst="rect">
          <a:avLst/>
        </a:prstGeom>
        <a:noFill/>
        <a:ln w="9525" cmpd="sng">
          <a:noFill/>
        </a:ln>
      </xdr:spPr>
      <xdr:txBody>
        <a:bodyPr vertOverflow="clip" wrap="square"/>
        <a:p>
          <a:pPr algn="l">
            <a:defRPr/>
          </a:pPr>
          <a:r>
            <a:rPr lang="en-US" cap="none" sz="1200" b="0" i="0" u="none" baseline="0">
              <a:latin typeface="Arial"/>
              <a:ea typeface="Arial"/>
              <a:cs typeface="Arial"/>
            </a:rPr>
            <a:t>*A negative value for disposal is due to avoided energy use for electricity generation resulting from energy production at landfills (using recovered methane) and/or waste incineration facilities.</a:t>
          </a:r>
        </a:p>
      </xdr:txBody>
    </xdr:sp>
    <xdr:clientData/>
  </xdr:twoCellAnchor>
  <xdr:twoCellAnchor>
    <xdr:from>
      <xdr:col>0</xdr:col>
      <xdr:colOff>409575</xdr:colOff>
      <xdr:row>732</xdr:row>
      <xdr:rowOff>66675</xdr:rowOff>
    </xdr:from>
    <xdr:to>
      <xdr:col>8</xdr:col>
      <xdr:colOff>247650</xdr:colOff>
      <xdr:row>778</xdr:row>
      <xdr:rowOff>95250</xdr:rowOff>
    </xdr:to>
    <xdr:graphicFrame>
      <xdr:nvGraphicFramePr>
        <xdr:cNvPr id="20" name="Chart 967"/>
        <xdr:cNvGraphicFramePr/>
      </xdr:nvGraphicFramePr>
      <xdr:xfrm>
        <a:off x="409575" y="133330950"/>
        <a:ext cx="11096625" cy="7477125"/>
      </xdr:xfrm>
      <a:graphic>
        <a:graphicData uri="http://schemas.openxmlformats.org/drawingml/2006/chart">
          <c:chart xmlns:c="http://schemas.openxmlformats.org/drawingml/2006/chart" r:id="rId16"/>
        </a:graphicData>
      </a:graphic>
    </xdr:graphicFrame>
    <xdr:clientData/>
  </xdr:twoCellAnchor>
  <xdr:twoCellAnchor>
    <xdr:from>
      <xdr:col>0</xdr:col>
      <xdr:colOff>495300</xdr:colOff>
      <xdr:row>779</xdr:row>
      <xdr:rowOff>19050</xdr:rowOff>
    </xdr:from>
    <xdr:to>
      <xdr:col>8</xdr:col>
      <xdr:colOff>200025</xdr:colOff>
      <xdr:row>781</xdr:row>
      <xdr:rowOff>142875</xdr:rowOff>
    </xdr:to>
    <xdr:sp>
      <xdr:nvSpPr>
        <xdr:cNvPr id="21" name="TextBox 968"/>
        <xdr:cNvSpPr txBox="1">
          <a:spLocks noChangeArrowheads="1"/>
        </xdr:cNvSpPr>
      </xdr:nvSpPr>
      <xdr:spPr>
        <a:xfrm>
          <a:off x="495300" y="140893800"/>
          <a:ext cx="10963275" cy="447675"/>
        </a:xfrm>
        <a:prstGeom prst="rect">
          <a:avLst/>
        </a:prstGeom>
        <a:noFill/>
        <a:ln w="9525" cmpd="sng">
          <a:noFill/>
        </a:ln>
      </xdr:spPr>
      <xdr:txBody>
        <a:bodyPr vertOverflow="clip" wrap="square"/>
        <a:p>
          <a:pPr algn="l">
            <a:defRPr/>
          </a:pPr>
          <a:r>
            <a:rPr lang="en-US" cap="none" sz="1200" b="0" i="0" u="none" baseline="0">
              <a:latin typeface="Arial"/>
              <a:ea typeface="Arial"/>
              <a:cs typeface="Arial"/>
            </a:rPr>
            <a:t>*A negative value for disposal may be due to the following factors: 1) avoided greenhouse gas emissions at electric utilities due to energy production at landfills (using recovered methane) or waste incineration facilities; and/or 2) long-term storage of carbon in landfills.</a:t>
          </a:r>
          <a:r>
            <a:rPr lang="en-US" cap="none" sz="900" b="0" i="0" u="none" baseline="0">
              <a:latin typeface="Arial"/>
              <a:ea typeface="Arial"/>
              <a:cs typeface="Arial"/>
            </a:rPr>
            <a:t>  </a:t>
          </a:r>
        </a:p>
      </xdr:txBody>
    </xdr:sp>
    <xdr:clientData/>
  </xdr:twoCellAnchor>
  <xdr:twoCellAnchor>
    <xdr:from>
      <xdr:col>0</xdr:col>
      <xdr:colOff>219075</xdr:colOff>
      <xdr:row>815</xdr:row>
      <xdr:rowOff>152400</xdr:rowOff>
    </xdr:from>
    <xdr:to>
      <xdr:col>8</xdr:col>
      <xdr:colOff>238125</xdr:colOff>
      <xdr:row>864</xdr:row>
      <xdr:rowOff>142875</xdr:rowOff>
    </xdr:to>
    <xdr:graphicFrame>
      <xdr:nvGraphicFramePr>
        <xdr:cNvPr id="22" name="Chart 969"/>
        <xdr:cNvGraphicFramePr/>
      </xdr:nvGraphicFramePr>
      <xdr:xfrm>
        <a:off x="219075" y="148399500"/>
        <a:ext cx="11277600" cy="7924800"/>
      </xdr:xfrm>
      <a:graphic>
        <a:graphicData uri="http://schemas.openxmlformats.org/drawingml/2006/chart">
          <c:chart xmlns:c="http://schemas.openxmlformats.org/drawingml/2006/chart" r:id="rId17"/>
        </a:graphicData>
      </a:graphic>
    </xdr:graphicFrame>
    <xdr:clientData/>
  </xdr:twoCellAnchor>
  <xdr:twoCellAnchor>
    <xdr:from>
      <xdr:col>0</xdr:col>
      <xdr:colOff>409575</xdr:colOff>
      <xdr:row>866</xdr:row>
      <xdr:rowOff>9525</xdr:rowOff>
    </xdr:from>
    <xdr:to>
      <xdr:col>8</xdr:col>
      <xdr:colOff>285750</xdr:colOff>
      <xdr:row>868</xdr:row>
      <xdr:rowOff>85725</xdr:rowOff>
    </xdr:to>
    <xdr:sp>
      <xdr:nvSpPr>
        <xdr:cNvPr id="23" name="TextBox 970"/>
        <xdr:cNvSpPr txBox="1">
          <a:spLocks noChangeArrowheads="1"/>
        </xdr:cNvSpPr>
      </xdr:nvSpPr>
      <xdr:spPr>
        <a:xfrm>
          <a:off x="409575" y="156514800"/>
          <a:ext cx="11134725" cy="400050"/>
        </a:xfrm>
        <a:prstGeom prst="rect">
          <a:avLst/>
        </a:prstGeom>
        <a:noFill/>
        <a:ln w="9525" cmpd="sng">
          <a:noFill/>
        </a:ln>
      </xdr:spPr>
      <xdr:txBody>
        <a:bodyPr vertOverflow="clip" wrap="square"/>
        <a:p>
          <a:pPr algn="l">
            <a:defRPr/>
          </a:pPr>
          <a:r>
            <a:rPr lang="en-US" cap="none" sz="1200" b="0" i="0" u="none" baseline="0">
              <a:latin typeface="Arial"/>
              <a:ea typeface="Arial"/>
              <a:cs typeface="Arial"/>
            </a:rPr>
            <a:t>*A negative value for disposal is due to avoided energy use for electricity generation resulting from energy production at landfills (using recovered methane) and/or waste incineration facilities.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C74"/>
  <sheetViews>
    <sheetView workbookViewId="0" topLeftCell="A37">
      <selection activeCell="A1" sqref="A1:C1"/>
    </sheetView>
  </sheetViews>
  <sheetFormatPr defaultColWidth="9.140625" defaultRowHeight="12.75"/>
  <cols>
    <col min="1" max="1" width="18.421875" style="33" bestFit="1" customWidth="1"/>
    <col min="2" max="2" width="9.140625" style="33" hidden="1" customWidth="1"/>
    <col min="3" max="3" width="76.57421875" style="33" customWidth="1"/>
    <col min="4" max="16384" width="9.140625" style="33" customWidth="1"/>
  </cols>
  <sheetData>
    <row r="1" spans="1:3" ht="46.5" customHeight="1">
      <c r="A1" s="586" t="s">
        <v>124</v>
      </c>
      <c r="B1" s="585"/>
      <c r="C1" s="585"/>
    </row>
    <row r="2" ht="15.75">
      <c r="A2" s="25" t="s">
        <v>282</v>
      </c>
    </row>
    <row r="3" ht="15.75">
      <c r="A3" s="25"/>
    </row>
    <row r="4" ht="15">
      <c r="A4" s="133" t="s">
        <v>283</v>
      </c>
    </row>
    <row r="5" ht="15">
      <c r="A5" s="304" t="s">
        <v>140</v>
      </c>
    </row>
    <row r="7" ht="18">
      <c r="A7" s="71" t="s">
        <v>232</v>
      </c>
    </row>
    <row r="8" spans="1:3" ht="170.25" customHeight="1">
      <c r="A8" s="584" t="s">
        <v>224</v>
      </c>
      <c r="B8" s="584"/>
      <c r="C8" s="584"/>
    </row>
    <row r="9" ht="12.75">
      <c r="C9" s="116"/>
    </row>
    <row r="10" spans="1:3" ht="135.75" customHeight="1">
      <c r="A10" s="584" t="s">
        <v>225</v>
      </c>
      <c r="B10" s="584"/>
      <c r="C10" s="584"/>
    </row>
    <row r="11" spans="1:3" ht="15">
      <c r="A11" s="124"/>
      <c r="B11" s="124"/>
      <c r="C11" s="124"/>
    </row>
    <row r="12" spans="1:3" ht="18">
      <c r="A12" s="71" t="s">
        <v>483</v>
      </c>
      <c r="B12" s="124"/>
      <c r="C12" s="124"/>
    </row>
    <row r="13" spans="1:3" ht="219.75" customHeight="1">
      <c r="A13" s="584" t="s">
        <v>52</v>
      </c>
      <c r="B13" s="584"/>
      <c r="C13" s="584"/>
    </row>
    <row r="14" spans="1:3" ht="246" customHeight="1">
      <c r="A14" s="584" t="s">
        <v>53</v>
      </c>
      <c r="B14" s="584"/>
      <c r="C14" s="584"/>
    </row>
    <row r="15" ht="12.75">
      <c r="C15" s="116"/>
    </row>
    <row r="16" ht="18">
      <c r="A16" s="71" t="s">
        <v>243</v>
      </c>
    </row>
    <row r="17" spans="1:3" ht="78.75" customHeight="1">
      <c r="A17" s="584" t="s">
        <v>226</v>
      </c>
      <c r="B17" s="584"/>
      <c r="C17" s="584"/>
    </row>
    <row r="18" spans="1:3" ht="15">
      <c r="A18" s="133"/>
      <c r="B18" s="133"/>
      <c r="C18" s="124"/>
    </row>
    <row r="19" spans="1:3" ht="91.5" customHeight="1">
      <c r="A19" s="584" t="s">
        <v>165</v>
      </c>
      <c r="B19" s="584"/>
      <c r="C19" s="584"/>
    </row>
    <row r="20" spans="1:3" ht="12.75">
      <c r="A20" s="23"/>
      <c r="C20" s="116"/>
    </row>
    <row r="21" ht="18">
      <c r="A21" s="71" t="s">
        <v>236</v>
      </c>
    </row>
    <row r="22" spans="1:3" ht="257.25" customHeight="1">
      <c r="A22" s="584" t="s">
        <v>487</v>
      </c>
      <c r="B22" s="584"/>
      <c r="C22" s="584"/>
    </row>
    <row r="23" spans="1:3" ht="12.75">
      <c r="A23" s="116"/>
      <c r="B23" s="116"/>
      <c r="C23" s="116"/>
    </row>
    <row r="24" spans="1:3" ht="18">
      <c r="A24" s="71" t="s">
        <v>244</v>
      </c>
      <c r="B24" s="116"/>
      <c r="C24" s="116"/>
    </row>
    <row r="25" spans="1:3" ht="12.75">
      <c r="A25" s="23"/>
      <c r="B25" s="116"/>
      <c r="C25" s="116"/>
    </row>
    <row r="26" spans="1:3" ht="152.25" customHeight="1">
      <c r="A26" s="254" t="s">
        <v>284</v>
      </c>
      <c r="B26" s="116"/>
      <c r="C26" s="108" t="s">
        <v>227</v>
      </c>
    </row>
    <row r="27" spans="1:3" ht="15">
      <c r="A27" s="254"/>
      <c r="B27" s="116"/>
      <c r="C27" s="124"/>
    </row>
    <row r="28" spans="1:3" ht="153.75" customHeight="1">
      <c r="A28" s="254" t="s">
        <v>285</v>
      </c>
      <c r="B28" s="116"/>
      <c r="C28" s="108" t="s">
        <v>54</v>
      </c>
    </row>
    <row r="29" spans="1:3" ht="15">
      <c r="A29" s="254"/>
      <c r="B29" s="116"/>
      <c r="C29" s="124"/>
    </row>
    <row r="30" spans="1:3" ht="62.25" customHeight="1">
      <c r="A30" s="254" t="s">
        <v>286</v>
      </c>
      <c r="B30" s="116"/>
      <c r="C30" s="108" t="s">
        <v>228</v>
      </c>
    </row>
    <row r="31" spans="1:3" ht="15">
      <c r="A31" s="254"/>
      <c r="B31" s="116"/>
      <c r="C31" s="116"/>
    </row>
    <row r="32" spans="1:3" ht="243" customHeight="1">
      <c r="A32" s="254" t="s">
        <v>360</v>
      </c>
      <c r="B32" s="116"/>
      <c r="C32" s="108" t="s">
        <v>55</v>
      </c>
    </row>
    <row r="33" spans="1:3" ht="12.75">
      <c r="A33" s="255"/>
      <c r="B33" s="116"/>
      <c r="C33" s="116"/>
    </row>
    <row r="34" spans="1:3" ht="18">
      <c r="A34" s="71" t="s">
        <v>361</v>
      </c>
      <c r="B34" s="116"/>
      <c r="C34" s="116"/>
    </row>
    <row r="35" spans="1:3" ht="45.75" customHeight="1">
      <c r="A35" s="584" t="s">
        <v>229</v>
      </c>
      <c r="B35" s="584"/>
      <c r="C35" s="584"/>
    </row>
    <row r="36" spans="1:3" ht="12.75">
      <c r="A36" s="116"/>
      <c r="B36" s="116"/>
      <c r="C36" s="116"/>
    </row>
    <row r="37" spans="1:3" ht="31.5" customHeight="1">
      <c r="A37" s="581" t="s">
        <v>254</v>
      </c>
      <c r="B37" s="584"/>
      <c r="C37" s="584"/>
    </row>
    <row r="38" spans="1:3" ht="15">
      <c r="A38" s="108"/>
      <c r="B38" s="124"/>
      <c r="C38" s="124"/>
    </row>
    <row r="39" spans="1:3" ht="81.75" customHeight="1">
      <c r="A39" s="581" t="s">
        <v>0</v>
      </c>
      <c r="B39" s="584"/>
      <c r="C39" s="584"/>
    </row>
    <row r="40" spans="1:3" ht="165" customHeight="1">
      <c r="A40" s="584" t="s">
        <v>488</v>
      </c>
      <c r="B40" s="585"/>
      <c r="C40" s="585"/>
    </row>
    <row r="41" spans="1:3" ht="15">
      <c r="A41" s="108"/>
      <c r="B41" s="124"/>
      <c r="C41" s="124"/>
    </row>
    <row r="42" spans="1:3" ht="86.25" customHeight="1">
      <c r="A42" s="581" t="s">
        <v>1</v>
      </c>
      <c r="B42" s="584"/>
      <c r="C42" s="584"/>
    </row>
    <row r="43" spans="1:3" ht="166.5" customHeight="1">
      <c r="A43" s="584" t="s">
        <v>239</v>
      </c>
      <c r="B43" s="584"/>
      <c r="C43" s="584"/>
    </row>
    <row r="44" spans="1:3" ht="114" customHeight="1">
      <c r="A44" s="584" t="s">
        <v>2</v>
      </c>
      <c r="B44" s="584"/>
      <c r="C44" s="584"/>
    </row>
    <row r="45" spans="1:3" ht="15">
      <c r="A45" s="108"/>
      <c r="B45" s="124"/>
      <c r="C45" s="124"/>
    </row>
    <row r="46" spans="1:3" ht="66" customHeight="1">
      <c r="A46" s="581" t="s">
        <v>3</v>
      </c>
      <c r="B46" s="584"/>
      <c r="C46" s="584"/>
    </row>
    <row r="47" spans="1:3" ht="15">
      <c r="A47" s="108"/>
      <c r="B47" s="124"/>
      <c r="C47" s="124"/>
    </row>
    <row r="48" spans="1:3" ht="65.25" customHeight="1">
      <c r="A48" s="581" t="s">
        <v>237</v>
      </c>
      <c r="B48" s="584"/>
      <c r="C48" s="584"/>
    </row>
    <row r="50" spans="1:3" ht="63" customHeight="1">
      <c r="A50" s="581" t="s">
        <v>143</v>
      </c>
      <c r="B50" s="584"/>
      <c r="C50" s="584"/>
    </row>
    <row r="51" spans="1:3" ht="15">
      <c r="A51" s="124"/>
      <c r="B51" s="124"/>
      <c r="C51" s="124"/>
    </row>
    <row r="52" spans="1:3" ht="60.75" customHeight="1">
      <c r="A52" s="581" t="s">
        <v>4</v>
      </c>
      <c r="B52" s="584"/>
      <c r="C52" s="584"/>
    </row>
    <row r="54" spans="1:3" ht="114" customHeight="1">
      <c r="A54" s="581" t="s">
        <v>486</v>
      </c>
      <c r="B54" s="584"/>
      <c r="C54" s="584"/>
    </row>
    <row r="55" spans="1:3" ht="12.75">
      <c r="A55" s="116"/>
      <c r="B55" s="116"/>
      <c r="C55" s="116"/>
    </row>
    <row r="56" spans="1:3" ht="99" customHeight="1">
      <c r="A56" s="581" t="s">
        <v>56</v>
      </c>
      <c r="B56" s="584"/>
      <c r="C56" s="584"/>
    </row>
    <row r="58" spans="1:3" ht="75.75" customHeight="1">
      <c r="A58" s="581" t="s">
        <v>419</v>
      </c>
      <c r="B58" s="584"/>
      <c r="C58" s="584"/>
    </row>
    <row r="60" spans="1:3" ht="62.25" customHeight="1">
      <c r="A60" s="581" t="s">
        <v>420</v>
      </c>
      <c r="B60" s="584"/>
      <c r="C60" s="584"/>
    </row>
    <row r="61" spans="1:3" ht="15">
      <c r="A61" s="108"/>
      <c r="B61" s="124"/>
      <c r="C61" s="124"/>
    </row>
    <row r="62" spans="1:3" ht="46.5" customHeight="1">
      <c r="A62" s="581" t="s">
        <v>5</v>
      </c>
      <c r="B62" s="582"/>
      <c r="C62" s="582"/>
    </row>
    <row r="63" spans="1:3" ht="15">
      <c r="A63" s="108"/>
      <c r="B63" s="124"/>
      <c r="C63" s="124"/>
    </row>
    <row r="64" spans="1:3" ht="46.5" customHeight="1">
      <c r="A64" s="581" t="s">
        <v>238</v>
      </c>
      <c r="B64" s="584"/>
      <c r="C64" s="584"/>
    </row>
    <row r="65" spans="1:3" ht="15">
      <c r="A65" s="108"/>
      <c r="B65" s="124"/>
      <c r="C65" s="124"/>
    </row>
    <row r="66" spans="1:3" ht="107.25" customHeight="1">
      <c r="A66" s="581" t="s">
        <v>6</v>
      </c>
      <c r="B66" s="582"/>
      <c r="C66" s="582"/>
    </row>
    <row r="67" spans="1:3" ht="15">
      <c r="A67" s="108"/>
      <c r="B67" s="124"/>
      <c r="C67" s="124"/>
    </row>
    <row r="68" spans="1:3" ht="30.75" customHeight="1">
      <c r="A68" s="581" t="s">
        <v>384</v>
      </c>
      <c r="B68" s="582"/>
      <c r="C68" s="582"/>
    </row>
    <row r="69" spans="1:3" ht="15">
      <c r="A69" s="108"/>
      <c r="B69" s="124"/>
      <c r="C69" s="124"/>
    </row>
    <row r="71" ht="18">
      <c r="A71" s="71" t="s">
        <v>359</v>
      </c>
    </row>
    <row r="72" spans="1:3" ht="33" customHeight="1">
      <c r="A72" s="583" t="s">
        <v>34</v>
      </c>
      <c r="B72" s="584"/>
      <c r="C72" s="584"/>
    </row>
    <row r="73" spans="1:3" ht="48" customHeight="1">
      <c r="A73" s="583" t="s">
        <v>35</v>
      </c>
      <c r="B73" s="584"/>
      <c r="C73" s="584"/>
    </row>
    <row r="74" spans="1:3" ht="47.25" customHeight="1">
      <c r="A74" s="583" t="s">
        <v>269</v>
      </c>
      <c r="B74" s="584"/>
      <c r="C74" s="584"/>
    </row>
  </sheetData>
  <sheetProtection password="C62B" sheet="1" objects="1" scenarios="1" selectLockedCells="1"/>
  <mergeCells count="30">
    <mergeCell ref="A13:C13"/>
    <mergeCell ref="A14:C14"/>
    <mergeCell ref="A1:C1"/>
    <mergeCell ref="A8:C8"/>
    <mergeCell ref="A10:C10"/>
    <mergeCell ref="A44:C44"/>
    <mergeCell ref="A40:C40"/>
    <mergeCell ref="A35:C35"/>
    <mergeCell ref="A37:C37"/>
    <mergeCell ref="A42:C42"/>
    <mergeCell ref="A19:C19"/>
    <mergeCell ref="A22:C22"/>
    <mergeCell ref="A17:C17"/>
    <mergeCell ref="A73:C73"/>
    <mergeCell ref="A52:C52"/>
    <mergeCell ref="A54:C54"/>
    <mergeCell ref="A60:C60"/>
    <mergeCell ref="A64:C64"/>
    <mergeCell ref="A62:C62"/>
    <mergeCell ref="A66:C66"/>
    <mergeCell ref="A68:C68"/>
    <mergeCell ref="A74:C74"/>
    <mergeCell ref="A39:C39"/>
    <mergeCell ref="A43:C43"/>
    <mergeCell ref="A56:C56"/>
    <mergeCell ref="A50:C50"/>
    <mergeCell ref="A58:C58"/>
    <mergeCell ref="A48:C48"/>
    <mergeCell ref="A72:C72"/>
    <mergeCell ref="A46:C46"/>
  </mergeCells>
  <printOptions/>
  <pageMargins left="0.5" right="0.5" top="0.75" bottom="0.75" header="0.5" footer="0.5"/>
  <pageSetup horizontalDpi="300" verticalDpi="300" orientation="portrait" r:id="rId1"/>
  <headerFooter alignWithMargins="0">
    <oddFooter>&amp;LNortheast Recycling Council, Inc. (NERC)
© September 2006&amp;C&amp;P&amp;R&amp;A</oddFooter>
  </headerFooter>
  <rowBreaks count="2" manualBreakCount="2">
    <brk id="11" max="255" man="1"/>
    <brk id="20" max="255" man="1"/>
  </rowBreaks>
</worksheet>
</file>

<file path=xl/worksheets/sheet2.xml><?xml version="1.0" encoding="utf-8"?>
<worksheet xmlns="http://schemas.openxmlformats.org/spreadsheetml/2006/main" xmlns:r="http://schemas.openxmlformats.org/officeDocument/2006/relationships">
  <dimension ref="A1:K199"/>
  <sheetViews>
    <sheetView tabSelected="1" view="pageBreakPreview" zoomScale="75" zoomScaleSheetLayoutView="75" workbookViewId="0" topLeftCell="A1">
      <selection activeCell="B107" sqref="B107"/>
    </sheetView>
  </sheetViews>
  <sheetFormatPr defaultColWidth="9.140625" defaultRowHeight="12.75"/>
  <cols>
    <col min="1" max="1" width="31.57421875" style="336" customWidth="1"/>
    <col min="2" max="2" width="30.28125" style="335" customWidth="1"/>
    <col min="3" max="3" width="21.140625" style="333" customWidth="1"/>
    <col min="4" max="16384" width="9.140625" style="333" customWidth="1"/>
  </cols>
  <sheetData>
    <row r="1" spans="1:3" ht="51" customHeight="1">
      <c r="A1" s="579" t="s">
        <v>124</v>
      </c>
      <c r="B1" s="580"/>
      <c r="C1" s="580"/>
    </row>
    <row r="2" ht="15">
      <c r="A2" s="334" t="s">
        <v>283</v>
      </c>
    </row>
    <row r="3" ht="15">
      <c r="A3" s="304" t="s">
        <v>140</v>
      </c>
    </row>
    <row r="4" ht="12.75"/>
    <row r="5" spans="1:2" ht="23.25">
      <c r="A5" s="559" t="s">
        <v>217</v>
      </c>
      <c r="B5" s="559"/>
    </row>
    <row r="6" spans="2:3" ht="12.75">
      <c r="B6" s="337"/>
      <c r="C6" s="338"/>
    </row>
    <row r="7" spans="1:7" s="334" customFormat="1" ht="31.5">
      <c r="A7" s="532" t="s">
        <v>220</v>
      </c>
      <c r="B7" s="196" t="s">
        <v>183</v>
      </c>
      <c r="C7" s="587" t="s">
        <v>221</v>
      </c>
      <c r="D7" s="588"/>
      <c r="E7" s="588"/>
      <c r="F7" s="588"/>
      <c r="G7" s="588"/>
    </row>
    <row r="8" spans="1:2" s="334" customFormat="1" ht="15.75">
      <c r="A8" s="339" t="s">
        <v>218</v>
      </c>
      <c r="B8" s="196" t="s">
        <v>183</v>
      </c>
    </row>
    <row r="9" spans="1:2" s="334" customFormat="1" ht="15.75">
      <c r="A9" s="339" t="s">
        <v>219</v>
      </c>
      <c r="B9" s="197">
        <v>39203</v>
      </c>
    </row>
    <row r="10" ht="12.75">
      <c r="B10" s="340"/>
    </row>
    <row r="11" ht="18">
      <c r="A11" s="341" t="s">
        <v>214</v>
      </c>
    </row>
    <row r="12" spans="1:2" s="334" customFormat="1" ht="15">
      <c r="A12" s="342" t="s">
        <v>7</v>
      </c>
      <c r="B12" s="343"/>
    </row>
    <row r="13" ht="12.75">
      <c r="A13" s="344"/>
    </row>
    <row r="14" spans="1:4" s="334" customFormat="1" ht="47.25">
      <c r="A14" s="345" t="s">
        <v>390</v>
      </c>
      <c r="B14" s="198" t="s">
        <v>184</v>
      </c>
      <c r="D14" s="346"/>
    </row>
    <row r="15" spans="1:2" s="334" customFormat="1" ht="15.75">
      <c r="A15" s="345" t="s">
        <v>368</v>
      </c>
      <c r="B15" s="199" t="s">
        <v>258</v>
      </c>
    </row>
    <row r="16" spans="1:8" s="350" customFormat="1" ht="26.25" customHeight="1">
      <c r="A16" s="347" t="s">
        <v>452</v>
      </c>
      <c r="B16" s="348" t="s">
        <v>166</v>
      </c>
      <c r="C16" s="509"/>
      <c r="D16" s="491"/>
      <c r="E16" s="491"/>
      <c r="F16" s="491"/>
      <c r="G16" s="491"/>
      <c r="H16" s="349"/>
    </row>
    <row r="17" spans="1:10" s="334" customFormat="1" ht="15.75">
      <c r="A17" s="351" t="s">
        <v>373</v>
      </c>
      <c r="B17" s="303">
        <v>48844</v>
      </c>
      <c r="C17" s="349"/>
      <c r="D17" s="349"/>
      <c r="E17" s="349"/>
      <c r="F17" s="349"/>
      <c r="G17" s="349"/>
      <c r="H17" s="349"/>
      <c r="I17" s="352"/>
      <c r="J17" s="352"/>
    </row>
    <row r="18" spans="1:11" s="334" customFormat="1" ht="15.75">
      <c r="A18" s="351" t="s">
        <v>374</v>
      </c>
      <c r="B18" s="303">
        <v>102532</v>
      </c>
      <c r="C18" s="376" t="s">
        <v>167</v>
      </c>
      <c r="D18" s="353"/>
      <c r="E18" s="354"/>
      <c r="F18" s="354"/>
      <c r="G18" s="354"/>
      <c r="H18" s="354"/>
      <c r="I18" s="355"/>
      <c r="J18" s="355"/>
      <c r="K18" s="356"/>
    </row>
    <row r="19" spans="1:11" s="334" customFormat="1" ht="15.75">
      <c r="A19" s="351" t="s">
        <v>375</v>
      </c>
      <c r="B19" s="303">
        <v>234629</v>
      </c>
      <c r="C19" s="353" t="s">
        <v>168</v>
      </c>
      <c r="D19" s="349"/>
      <c r="E19" s="354"/>
      <c r="F19" s="354"/>
      <c r="G19" s="354"/>
      <c r="H19" s="354"/>
      <c r="I19" s="355"/>
      <c r="J19" s="355"/>
      <c r="K19" s="359"/>
    </row>
    <row r="20" spans="1:11" s="334" customFormat="1" ht="15.75">
      <c r="A20" s="351" t="s">
        <v>376</v>
      </c>
      <c r="B20" s="303">
        <v>68082</v>
      </c>
      <c r="C20" s="349"/>
      <c r="D20" s="354"/>
      <c r="E20" s="354"/>
      <c r="F20" s="354"/>
      <c r="G20" s="354"/>
      <c r="H20" s="354"/>
      <c r="I20" s="355"/>
      <c r="J20" s="355"/>
      <c r="K20" s="359"/>
    </row>
    <row r="21" spans="1:11" s="334" customFormat="1" ht="15.75">
      <c r="A21" s="351" t="s">
        <v>377</v>
      </c>
      <c r="B21" s="303"/>
      <c r="C21" s="349"/>
      <c r="D21" s="354"/>
      <c r="E21" s="354"/>
      <c r="F21" s="354"/>
      <c r="G21" s="354"/>
      <c r="H21" s="354"/>
      <c r="I21" s="355"/>
      <c r="J21" s="355"/>
      <c r="K21" s="359"/>
    </row>
    <row r="22" spans="1:11" s="334" customFormat="1" ht="15.75">
      <c r="A22" s="351" t="s">
        <v>378</v>
      </c>
      <c r="B22" s="303">
        <v>87601</v>
      </c>
      <c r="C22" s="349"/>
      <c r="D22" s="354"/>
      <c r="E22" s="354"/>
      <c r="F22" s="354"/>
      <c r="G22" s="354"/>
      <c r="H22" s="354"/>
      <c r="I22" s="355"/>
      <c r="J22" s="355"/>
      <c r="K22" s="359"/>
    </row>
    <row r="23" spans="1:11" s="334" customFormat="1" ht="15.75">
      <c r="A23" s="351" t="s">
        <v>372</v>
      </c>
      <c r="B23" s="303">
        <v>785032</v>
      </c>
      <c r="C23" s="353" t="s">
        <v>169</v>
      </c>
      <c r="D23" s="349"/>
      <c r="E23" s="354"/>
      <c r="F23" s="354"/>
      <c r="G23" s="354"/>
      <c r="H23" s="354"/>
      <c r="I23" s="355"/>
      <c r="J23" s="355"/>
      <c r="K23" s="359"/>
    </row>
    <row r="24" spans="1:11" s="334" customFormat="1" ht="31.5">
      <c r="A24" s="370" t="s">
        <v>476</v>
      </c>
      <c r="B24" s="303">
        <v>251027</v>
      </c>
      <c r="C24" s="353" t="s">
        <v>170</v>
      </c>
      <c r="D24" s="349"/>
      <c r="E24" s="354"/>
      <c r="F24" s="354"/>
      <c r="G24" s="354"/>
      <c r="H24" s="354"/>
      <c r="I24" s="355"/>
      <c r="J24" s="355"/>
      <c r="K24" s="359"/>
    </row>
    <row r="25" spans="1:11" s="334" customFormat="1" ht="15.75">
      <c r="A25" s="351" t="s">
        <v>370</v>
      </c>
      <c r="B25" s="303">
        <v>389263</v>
      </c>
      <c r="C25" s="354"/>
      <c r="D25" s="349"/>
      <c r="E25" s="354"/>
      <c r="F25" s="354"/>
      <c r="G25" s="354"/>
      <c r="H25" s="354"/>
      <c r="I25" s="355"/>
      <c r="J25" s="355"/>
      <c r="K25" s="359"/>
    </row>
    <row r="26" spans="1:11" s="334" customFormat="1" ht="15.75">
      <c r="A26" s="351" t="s">
        <v>371</v>
      </c>
      <c r="B26" s="303">
        <v>341975</v>
      </c>
      <c r="C26" s="353" t="s">
        <v>171</v>
      </c>
      <c r="D26" s="349"/>
      <c r="E26" s="354"/>
      <c r="F26" s="354"/>
      <c r="G26" s="354"/>
      <c r="H26" s="354"/>
      <c r="I26" s="355"/>
      <c r="J26" s="355"/>
      <c r="K26" s="359"/>
    </row>
    <row r="27" spans="1:11" s="334" customFormat="1" ht="15.75">
      <c r="A27" s="351" t="s">
        <v>477</v>
      </c>
      <c r="B27" s="303"/>
      <c r="C27" s="349"/>
      <c r="D27" s="354"/>
      <c r="E27" s="354"/>
      <c r="F27" s="354"/>
      <c r="G27" s="354"/>
      <c r="H27" s="354"/>
      <c r="I27" s="355"/>
      <c r="J27" s="355"/>
      <c r="K27" s="359"/>
    </row>
    <row r="28" spans="1:11" s="334" customFormat="1" ht="15.75">
      <c r="A28" s="351" t="s">
        <v>478</v>
      </c>
      <c r="B28" s="303"/>
      <c r="C28" s="349"/>
      <c r="D28" s="354"/>
      <c r="E28" s="354"/>
      <c r="F28" s="354"/>
      <c r="G28" s="354"/>
      <c r="H28" s="354"/>
      <c r="I28" s="355"/>
      <c r="J28" s="355"/>
      <c r="K28" s="359"/>
    </row>
    <row r="29" spans="1:11" s="334" customFormat="1" ht="18">
      <c r="A29" s="347" t="s">
        <v>452</v>
      </c>
      <c r="B29" s="348" t="s">
        <v>166</v>
      </c>
      <c r="C29" s="349"/>
      <c r="D29" s="354"/>
      <c r="E29" s="354"/>
      <c r="F29" s="354"/>
      <c r="G29" s="354"/>
      <c r="H29" s="354"/>
      <c r="I29" s="355"/>
      <c r="J29" s="355"/>
      <c r="K29" s="359"/>
    </row>
    <row r="30" spans="1:11" s="356" customFormat="1" ht="22.5" customHeight="1">
      <c r="A30" s="351" t="s">
        <v>149</v>
      </c>
      <c r="B30" s="303"/>
      <c r="C30" s="589" t="s">
        <v>8</v>
      </c>
      <c r="D30" s="594"/>
      <c r="E30" s="594"/>
      <c r="F30" s="594"/>
      <c r="G30" s="594"/>
      <c r="H30" s="465"/>
      <c r="I30" s="362"/>
      <c r="J30" s="362"/>
      <c r="K30" s="359"/>
    </row>
    <row r="31" spans="1:11" s="334" customFormat="1" ht="15.75">
      <c r="A31" s="351" t="s">
        <v>379</v>
      </c>
      <c r="B31" s="303"/>
      <c r="C31" s="353"/>
      <c r="D31" s="349"/>
      <c r="E31" s="354"/>
      <c r="F31" s="354"/>
      <c r="G31" s="354"/>
      <c r="H31" s="354"/>
      <c r="I31" s="355"/>
      <c r="J31" s="355"/>
      <c r="K31" s="359"/>
    </row>
    <row r="32" spans="1:11" s="334" customFormat="1" ht="15.75">
      <c r="A32" s="351" t="s">
        <v>380</v>
      </c>
      <c r="B32" s="303"/>
      <c r="C32" s="353" t="s">
        <v>172</v>
      </c>
      <c r="D32" s="349"/>
      <c r="E32" s="354"/>
      <c r="F32" s="354"/>
      <c r="G32" s="354"/>
      <c r="H32" s="354"/>
      <c r="I32" s="355"/>
      <c r="J32" s="355"/>
      <c r="K32" s="359"/>
    </row>
    <row r="33" spans="1:11" s="334" customFormat="1" ht="15.75">
      <c r="A33" s="351" t="s">
        <v>408</v>
      </c>
      <c r="B33" s="303"/>
      <c r="C33" s="349"/>
      <c r="D33" s="354"/>
      <c r="E33" s="354"/>
      <c r="F33" s="354"/>
      <c r="G33" s="354"/>
      <c r="H33" s="354"/>
      <c r="I33" s="355"/>
      <c r="J33" s="355"/>
      <c r="K33" s="359"/>
    </row>
    <row r="34" spans="1:11" s="334" customFormat="1" ht="15.75">
      <c r="A34" s="351" t="s">
        <v>409</v>
      </c>
      <c r="B34" s="303"/>
      <c r="C34" s="349"/>
      <c r="D34" s="354"/>
      <c r="E34" s="354"/>
      <c r="F34" s="354"/>
      <c r="G34" s="354"/>
      <c r="H34" s="354"/>
      <c r="I34" s="355"/>
      <c r="J34" s="355"/>
      <c r="K34" s="359"/>
    </row>
    <row r="35" spans="1:11" s="334" customFormat="1" ht="15.75">
      <c r="A35" s="351" t="s">
        <v>410</v>
      </c>
      <c r="B35" s="303"/>
      <c r="C35" s="349"/>
      <c r="D35" s="354"/>
      <c r="E35" s="354"/>
      <c r="F35" s="354"/>
      <c r="G35" s="354"/>
      <c r="H35" s="354"/>
      <c r="I35" s="355"/>
      <c r="J35" s="355"/>
      <c r="K35" s="359"/>
    </row>
    <row r="36" spans="1:11" s="334" customFormat="1" ht="26.25" customHeight="1">
      <c r="A36" s="351" t="s">
        <v>88</v>
      </c>
      <c r="B36" s="303">
        <v>282131</v>
      </c>
      <c r="C36" s="589" t="s">
        <v>294</v>
      </c>
      <c r="D36" s="590"/>
      <c r="E36" s="590"/>
      <c r="F36" s="590"/>
      <c r="G36" s="590"/>
      <c r="H36" s="357"/>
      <c r="I36" s="358"/>
      <c r="J36" s="355"/>
      <c r="K36" s="359"/>
    </row>
    <row r="37" spans="1:11" s="334" customFormat="1" ht="15.75">
      <c r="A37" s="351" t="s">
        <v>322</v>
      </c>
      <c r="B37" s="303">
        <v>43057</v>
      </c>
      <c r="C37" s="349"/>
      <c r="D37" s="354"/>
      <c r="E37" s="354"/>
      <c r="F37" s="354"/>
      <c r="G37" s="354"/>
      <c r="H37" s="354"/>
      <c r="I37" s="355"/>
      <c r="J37" s="355"/>
      <c r="K37" s="359"/>
    </row>
    <row r="38" spans="1:11" s="334" customFormat="1" ht="15.75">
      <c r="A38" s="351" t="s">
        <v>321</v>
      </c>
      <c r="B38" s="303"/>
      <c r="C38" s="353" t="s">
        <v>482</v>
      </c>
      <c r="D38" s="349"/>
      <c r="E38" s="349"/>
      <c r="F38" s="357"/>
      <c r="G38" s="357"/>
      <c r="H38" s="357"/>
      <c r="I38" s="358"/>
      <c r="J38" s="355"/>
      <c r="K38" s="359"/>
    </row>
    <row r="39" spans="1:11" s="334" customFormat="1" ht="15.75">
      <c r="A39" s="351" t="s">
        <v>323</v>
      </c>
      <c r="B39" s="303"/>
      <c r="C39" s="353"/>
      <c r="D39" s="349"/>
      <c r="E39" s="349"/>
      <c r="F39" s="357"/>
      <c r="G39" s="357"/>
      <c r="H39" s="357"/>
      <c r="I39" s="358"/>
      <c r="J39" s="355"/>
      <c r="K39" s="359"/>
    </row>
    <row r="40" spans="1:11" s="334" customFormat="1" ht="24" customHeight="1">
      <c r="A40" s="370" t="s">
        <v>86</v>
      </c>
      <c r="B40" s="303"/>
      <c r="C40" s="589" t="s">
        <v>9</v>
      </c>
      <c r="D40" s="594"/>
      <c r="E40" s="594"/>
      <c r="F40" s="594"/>
      <c r="G40" s="594"/>
      <c r="H40" s="465"/>
      <c r="I40" s="361"/>
      <c r="J40" s="361"/>
      <c r="K40" s="359"/>
    </row>
    <row r="41" spans="1:11" s="356" customFormat="1" ht="15.75">
      <c r="A41" s="351" t="s">
        <v>393</v>
      </c>
      <c r="B41" s="303"/>
      <c r="C41" s="354"/>
      <c r="D41" s="353"/>
      <c r="E41" s="354"/>
      <c r="F41" s="354"/>
      <c r="G41" s="354"/>
      <c r="H41" s="354"/>
      <c r="I41" s="362"/>
      <c r="J41" s="362"/>
      <c r="K41" s="359"/>
    </row>
    <row r="42" spans="1:11" s="334" customFormat="1" ht="27.75" customHeight="1">
      <c r="A42" s="351" t="s">
        <v>407</v>
      </c>
      <c r="B42" s="303"/>
      <c r="C42" s="589" t="s">
        <v>173</v>
      </c>
      <c r="D42" s="594"/>
      <c r="E42" s="594"/>
      <c r="F42" s="594"/>
      <c r="G42" s="594"/>
      <c r="H42" s="349"/>
      <c r="I42" s="360"/>
      <c r="J42" s="360"/>
      <c r="K42" s="359"/>
    </row>
    <row r="43" spans="1:11" s="334" customFormat="1" ht="44.25" customHeight="1">
      <c r="A43" s="370" t="s">
        <v>68</v>
      </c>
      <c r="B43" s="303"/>
      <c r="C43" s="589" t="s">
        <v>174</v>
      </c>
      <c r="D43" s="590"/>
      <c r="E43" s="590"/>
      <c r="F43" s="590"/>
      <c r="G43" s="590"/>
      <c r="H43" s="425"/>
      <c r="I43" s="361"/>
      <c r="J43" s="361"/>
      <c r="K43" s="359"/>
    </row>
    <row r="44" spans="1:11" s="356" customFormat="1" ht="15.75">
      <c r="A44" s="351" t="s">
        <v>144</v>
      </c>
      <c r="B44" s="303"/>
      <c r="C44" s="354"/>
      <c r="D44" s="353"/>
      <c r="E44" s="354"/>
      <c r="F44" s="354"/>
      <c r="G44" s="354"/>
      <c r="H44" s="354"/>
      <c r="I44" s="362"/>
      <c r="J44" s="362"/>
      <c r="K44" s="359"/>
    </row>
    <row r="45" spans="1:11" s="356" customFormat="1" ht="25.5" customHeight="1">
      <c r="A45" s="351" t="s">
        <v>145</v>
      </c>
      <c r="B45" s="303"/>
      <c r="C45" s="589" t="s">
        <v>175</v>
      </c>
      <c r="D45" s="594"/>
      <c r="E45" s="594"/>
      <c r="F45" s="594"/>
      <c r="G45" s="594"/>
      <c r="H45" s="465"/>
      <c r="I45" s="361"/>
      <c r="J45" s="361"/>
      <c r="K45" s="359"/>
    </row>
    <row r="46" spans="1:11" s="356" customFormat="1" ht="46.5" customHeight="1">
      <c r="A46" s="351" t="s">
        <v>146</v>
      </c>
      <c r="B46" s="303"/>
      <c r="C46" s="589" t="s">
        <v>118</v>
      </c>
      <c r="D46" s="594"/>
      <c r="E46" s="594"/>
      <c r="F46" s="594"/>
      <c r="G46" s="594"/>
      <c r="H46" s="465"/>
      <c r="I46" s="361"/>
      <c r="J46" s="361"/>
      <c r="K46" s="359"/>
    </row>
    <row r="47" spans="1:11" s="334" customFormat="1" ht="15.75">
      <c r="A47" s="351" t="s">
        <v>100</v>
      </c>
      <c r="B47" s="303">
        <v>433821</v>
      </c>
      <c r="C47" s="589" t="s">
        <v>176</v>
      </c>
      <c r="D47" s="594"/>
      <c r="E47" s="594"/>
      <c r="F47" s="594"/>
      <c r="G47" s="594"/>
      <c r="H47" s="465"/>
      <c r="I47" s="361"/>
      <c r="J47" s="361"/>
      <c r="K47" s="359"/>
    </row>
    <row r="48" spans="1:11" s="334" customFormat="1" ht="43.5" customHeight="1">
      <c r="A48" s="351" t="s">
        <v>479</v>
      </c>
      <c r="B48" s="303">
        <v>32138</v>
      </c>
      <c r="C48" s="589" t="s">
        <v>119</v>
      </c>
      <c r="D48" s="594"/>
      <c r="E48" s="594"/>
      <c r="F48" s="594"/>
      <c r="G48" s="594"/>
      <c r="H48" s="465"/>
      <c r="I48" s="360"/>
      <c r="J48" s="360"/>
      <c r="K48" s="359"/>
    </row>
    <row r="49" spans="1:11" s="334" customFormat="1" ht="34.5" customHeight="1">
      <c r="A49" s="351" t="s">
        <v>480</v>
      </c>
      <c r="B49" s="303">
        <v>906653</v>
      </c>
      <c r="C49" s="589" t="s">
        <v>178</v>
      </c>
      <c r="D49" s="594"/>
      <c r="E49" s="594"/>
      <c r="F49" s="594"/>
      <c r="G49" s="594"/>
      <c r="H49" s="465"/>
      <c r="I49" s="361"/>
      <c r="J49" s="361"/>
      <c r="K49" s="359"/>
    </row>
    <row r="50" spans="1:11" s="334" customFormat="1" ht="34.5" customHeight="1">
      <c r="A50" s="347" t="s">
        <v>452</v>
      </c>
      <c r="B50" s="348" t="s">
        <v>166</v>
      </c>
      <c r="C50" s="424"/>
      <c r="D50" s="491"/>
      <c r="E50" s="491"/>
      <c r="F50" s="491"/>
      <c r="G50" s="491"/>
      <c r="H50" s="465"/>
      <c r="I50" s="361"/>
      <c r="J50" s="361"/>
      <c r="K50" s="359"/>
    </row>
    <row r="51" spans="1:11" s="334" customFormat="1" ht="59.25" customHeight="1">
      <c r="A51" s="351" t="s">
        <v>389</v>
      </c>
      <c r="B51" s="303"/>
      <c r="C51" s="589" t="s">
        <v>179</v>
      </c>
      <c r="D51" s="594"/>
      <c r="E51" s="594"/>
      <c r="F51" s="594"/>
      <c r="G51" s="594"/>
      <c r="H51" s="465"/>
      <c r="I51" s="361"/>
      <c r="J51" s="361"/>
      <c r="K51" s="359"/>
    </row>
    <row r="52" spans="1:11" s="334" customFormat="1" ht="26.25" customHeight="1">
      <c r="A52" s="351" t="s">
        <v>481</v>
      </c>
      <c r="B52" s="303"/>
      <c r="C52" s="589" t="s">
        <v>180</v>
      </c>
      <c r="D52" s="594"/>
      <c r="E52" s="594"/>
      <c r="F52" s="594"/>
      <c r="G52" s="594"/>
      <c r="H52" s="465"/>
      <c r="I52" s="361"/>
      <c r="J52" s="361"/>
      <c r="K52" s="359"/>
    </row>
    <row r="53" spans="1:11" s="334" customFormat="1" ht="33" customHeight="1">
      <c r="A53" s="351" t="s">
        <v>87</v>
      </c>
      <c r="B53" s="303"/>
      <c r="C53" s="589" t="s">
        <v>413</v>
      </c>
      <c r="D53" s="594"/>
      <c r="E53" s="594"/>
      <c r="F53" s="594"/>
      <c r="G53" s="594"/>
      <c r="H53" s="465"/>
      <c r="I53" s="361"/>
      <c r="J53" s="361"/>
      <c r="K53" s="359"/>
    </row>
    <row r="54" spans="1:11" s="334" customFormat="1" ht="15.75">
      <c r="A54" s="351" t="s">
        <v>429</v>
      </c>
      <c r="B54" s="305">
        <f>SUM(B17:B53)</f>
        <v>4006785</v>
      </c>
      <c r="C54" s="376" t="s">
        <v>381</v>
      </c>
      <c r="D54" s="349"/>
      <c r="E54" s="354"/>
      <c r="F54" s="354"/>
      <c r="G54" s="354"/>
      <c r="H54" s="354"/>
      <c r="I54" s="362"/>
      <c r="J54" s="362"/>
      <c r="K54" s="359"/>
    </row>
    <row r="55" spans="1:11" ht="12.75">
      <c r="A55" s="363"/>
      <c r="B55" s="364"/>
      <c r="C55" s="349"/>
      <c r="D55" s="349"/>
      <c r="E55" s="354"/>
      <c r="F55" s="354"/>
      <c r="G55" s="354"/>
      <c r="H55" s="354"/>
      <c r="I55" s="362"/>
      <c r="J55" s="362"/>
      <c r="K55" s="359"/>
    </row>
    <row r="56" spans="1:11" ht="33.75">
      <c r="A56" s="347" t="s">
        <v>452</v>
      </c>
      <c r="B56" s="365" t="s">
        <v>415</v>
      </c>
      <c r="C56" s="569"/>
      <c r="D56" s="594"/>
      <c r="E56" s="594"/>
      <c r="F56" s="594"/>
      <c r="G56" s="594"/>
      <c r="H56" s="465"/>
      <c r="I56" s="360"/>
      <c r="J56" s="360"/>
      <c r="K56" s="366"/>
    </row>
    <row r="57" spans="1:11" s="334" customFormat="1" ht="15.75">
      <c r="A57" s="351" t="s">
        <v>373</v>
      </c>
      <c r="B57" s="303"/>
      <c r="C57" s="349"/>
      <c r="D57" s="349"/>
      <c r="E57" s="349"/>
      <c r="F57" s="349"/>
      <c r="G57" s="349"/>
      <c r="H57" s="349"/>
      <c r="I57" s="360"/>
      <c r="J57" s="360"/>
      <c r="K57" s="366"/>
    </row>
    <row r="58" spans="1:11" s="334" customFormat="1" ht="15.75">
      <c r="A58" s="351" t="s">
        <v>374</v>
      </c>
      <c r="B58" s="303"/>
      <c r="C58" s="376" t="s">
        <v>167</v>
      </c>
      <c r="D58" s="353"/>
      <c r="E58" s="349"/>
      <c r="F58" s="349"/>
      <c r="G58" s="349"/>
      <c r="H58" s="349"/>
      <c r="I58" s="360"/>
      <c r="J58" s="360"/>
      <c r="K58" s="366"/>
    </row>
    <row r="59" spans="1:11" s="334" customFormat="1" ht="15.75">
      <c r="A59" s="351" t="s">
        <v>375</v>
      </c>
      <c r="B59" s="303"/>
      <c r="C59" s="589" t="s">
        <v>168</v>
      </c>
      <c r="D59" s="560"/>
      <c r="E59" s="560"/>
      <c r="F59" s="560"/>
      <c r="G59" s="349"/>
      <c r="H59" s="349"/>
      <c r="I59" s="360"/>
      <c r="J59" s="360"/>
      <c r="K59" s="366"/>
    </row>
    <row r="60" spans="1:11" s="334" customFormat="1" ht="15.75">
      <c r="A60" s="351" t="s">
        <v>376</v>
      </c>
      <c r="B60" s="303"/>
      <c r="C60" s="349"/>
      <c r="D60" s="354"/>
      <c r="E60" s="349"/>
      <c r="F60" s="349"/>
      <c r="G60" s="349"/>
      <c r="H60" s="349"/>
      <c r="I60" s="360"/>
      <c r="J60" s="360"/>
      <c r="K60" s="366"/>
    </row>
    <row r="61" spans="1:11" s="334" customFormat="1" ht="15.75">
      <c r="A61" s="351" t="s">
        <v>377</v>
      </c>
      <c r="B61" s="303"/>
      <c r="C61" s="349"/>
      <c r="D61" s="354"/>
      <c r="E61" s="349"/>
      <c r="F61" s="349"/>
      <c r="G61" s="349"/>
      <c r="H61" s="349"/>
      <c r="I61" s="360"/>
      <c r="J61" s="360"/>
      <c r="K61" s="366"/>
    </row>
    <row r="62" spans="1:11" s="334" customFormat="1" ht="15.75">
      <c r="A62" s="351" t="s">
        <v>378</v>
      </c>
      <c r="B62" s="303"/>
      <c r="C62" s="349"/>
      <c r="D62" s="354"/>
      <c r="E62" s="349"/>
      <c r="F62" s="349"/>
      <c r="G62" s="349"/>
      <c r="H62" s="349"/>
      <c r="I62" s="360"/>
      <c r="J62" s="360"/>
      <c r="K62" s="366"/>
    </row>
    <row r="63" spans="1:11" s="334" customFormat="1" ht="15.75">
      <c r="A63" s="351" t="s">
        <v>372</v>
      </c>
      <c r="B63" s="303"/>
      <c r="C63" s="353" t="s">
        <v>169</v>
      </c>
      <c r="D63" s="367"/>
      <c r="E63" s="349"/>
      <c r="F63" s="349"/>
      <c r="G63" s="349"/>
      <c r="H63" s="349"/>
      <c r="I63" s="360"/>
      <c r="J63" s="360"/>
      <c r="K63" s="366"/>
    </row>
    <row r="64" spans="1:11" s="334" customFormat="1" ht="15.75">
      <c r="A64" s="370" t="s">
        <v>476</v>
      </c>
      <c r="B64" s="303"/>
      <c r="C64" s="353" t="s">
        <v>170</v>
      </c>
      <c r="D64" s="367"/>
      <c r="E64" s="349"/>
      <c r="F64" s="349"/>
      <c r="G64" s="349"/>
      <c r="H64" s="349"/>
      <c r="I64" s="360"/>
      <c r="J64" s="360"/>
      <c r="K64" s="366"/>
    </row>
    <row r="65" spans="1:11" s="334" customFormat="1" ht="15.75">
      <c r="A65" s="351" t="s">
        <v>370</v>
      </c>
      <c r="B65" s="303"/>
      <c r="C65" s="354"/>
      <c r="D65" s="367"/>
      <c r="E65" s="349"/>
      <c r="F65" s="349"/>
      <c r="G65" s="349"/>
      <c r="H65" s="349"/>
      <c r="I65" s="360"/>
      <c r="J65" s="360"/>
      <c r="K65" s="366"/>
    </row>
    <row r="66" spans="1:11" s="334" customFormat="1" ht="15.75">
      <c r="A66" s="351" t="s">
        <v>371</v>
      </c>
      <c r="B66" s="303"/>
      <c r="C66" s="353" t="s">
        <v>181</v>
      </c>
      <c r="D66" s="367"/>
      <c r="E66" s="349"/>
      <c r="F66" s="349"/>
      <c r="G66" s="349"/>
      <c r="H66" s="349"/>
      <c r="I66" s="360"/>
      <c r="J66" s="360"/>
      <c r="K66" s="366"/>
    </row>
    <row r="67" spans="1:11" s="334" customFormat="1" ht="15.75">
      <c r="A67" s="351" t="s">
        <v>477</v>
      </c>
      <c r="B67" s="303"/>
      <c r="C67" s="349"/>
      <c r="D67" s="354"/>
      <c r="E67" s="349"/>
      <c r="F67" s="349"/>
      <c r="G67" s="349"/>
      <c r="H67" s="349"/>
      <c r="I67" s="360"/>
      <c r="J67" s="360"/>
      <c r="K67" s="366"/>
    </row>
    <row r="68" spans="1:11" s="334" customFormat="1" ht="15.75">
      <c r="A68" s="351" t="s">
        <v>478</v>
      </c>
      <c r="B68" s="303"/>
      <c r="C68" s="349"/>
      <c r="D68" s="354"/>
      <c r="E68" s="349"/>
      <c r="F68" s="349"/>
      <c r="G68" s="349"/>
      <c r="H68" s="349"/>
      <c r="I68" s="360"/>
      <c r="J68" s="360"/>
      <c r="K68" s="366"/>
    </row>
    <row r="69" spans="1:11" s="334" customFormat="1" ht="24" customHeight="1">
      <c r="A69" s="369" t="s">
        <v>149</v>
      </c>
      <c r="B69" s="303"/>
      <c r="C69" s="589" t="s">
        <v>8</v>
      </c>
      <c r="D69" s="590"/>
      <c r="E69" s="590"/>
      <c r="F69" s="590"/>
      <c r="G69" s="590"/>
      <c r="H69" s="349"/>
      <c r="I69" s="360"/>
      <c r="J69" s="360"/>
      <c r="K69" s="366"/>
    </row>
    <row r="70" spans="1:11" s="334" customFormat="1" ht="24.75" customHeight="1">
      <c r="A70" s="351" t="s">
        <v>88</v>
      </c>
      <c r="B70" s="303"/>
      <c r="C70" s="589" t="s">
        <v>295</v>
      </c>
      <c r="D70" s="560"/>
      <c r="E70" s="560"/>
      <c r="F70" s="560"/>
      <c r="G70" s="349"/>
      <c r="H70" s="349"/>
      <c r="I70" s="360"/>
      <c r="J70" s="360"/>
      <c r="K70" s="366"/>
    </row>
    <row r="71" spans="1:11" s="334" customFormat="1" ht="15.75">
      <c r="A71" s="369" t="s">
        <v>322</v>
      </c>
      <c r="B71" s="303"/>
      <c r="C71" s="353"/>
      <c r="D71" s="367"/>
      <c r="E71" s="349"/>
      <c r="F71" s="349"/>
      <c r="G71" s="349"/>
      <c r="H71" s="349"/>
      <c r="I71" s="360"/>
      <c r="J71" s="360"/>
      <c r="K71" s="366"/>
    </row>
    <row r="72" spans="1:11" s="334" customFormat="1" ht="15.75">
      <c r="A72" s="351" t="s">
        <v>321</v>
      </c>
      <c r="B72" s="303"/>
      <c r="C72" s="353" t="s">
        <v>482</v>
      </c>
      <c r="D72" s="425"/>
      <c r="E72" s="425"/>
      <c r="F72" s="425"/>
      <c r="G72" s="349"/>
      <c r="H72" s="349"/>
      <c r="I72" s="360"/>
      <c r="J72" s="360"/>
      <c r="K72" s="366"/>
    </row>
    <row r="73" spans="1:11" s="334" customFormat="1" ht="33.75">
      <c r="A73" s="347" t="s">
        <v>452</v>
      </c>
      <c r="B73" s="365" t="s">
        <v>415</v>
      </c>
      <c r="C73" s="510"/>
      <c r="D73" s="425"/>
      <c r="E73" s="425"/>
      <c r="F73" s="425"/>
      <c r="G73" s="349"/>
      <c r="H73" s="349"/>
      <c r="I73" s="360"/>
      <c r="J73" s="360"/>
      <c r="K73" s="366"/>
    </row>
    <row r="74" spans="1:2" ht="15.75">
      <c r="A74" s="351" t="s">
        <v>323</v>
      </c>
      <c r="B74" s="303"/>
    </row>
    <row r="75" spans="1:11" s="334" customFormat="1" ht="21.75" customHeight="1">
      <c r="A75" s="370" t="s">
        <v>86</v>
      </c>
      <c r="B75" s="303"/>
      <c r="C75" s="589" t="s">
        <v>10</v>
      </c>
      <c r="D75" s="594"/>
      <c r="E75" s="594"/>
      <c r="F75" s="594"/>
      <c r="G75" s="594"/>
      <c r="H75" s="465"/>
      <c r="I75" s="361"/>
      <c r="J75" s="361"/>
      <c r="K75" s="366"/>
    </row>
    <row r="76" spans="1:11" s="334" customFormat="1" ht="15.75">
      <c r="A76" s="351" t="s">
        <v>393</v>
      </c>
      <c r="B76" s="303"/>
      <c r="C76" s="349"/>
      <c r="D76" s="368"/>
      <c r="E76" s="349"/>
      <c r="F76" s="349"/>
      <c r="G76" s="349"/>
      <c r="H76" s="349"/>
      <c r="I76" s="360"/>
      <c r="J76" s="360"/>
      <c r="K76" s="366"/>
    </row>
    <row r="77" spans="1:11" s="334" customFormat="1" ht="24.75" customHeight="1">
      <c r="A77" s="351" t="s">
        <v>407</v>
      </c>
      <c r="B77" s="303"/>
      <c r="C77" s="589" t="s">
        <v>173</v>
      </c>
      <c r="D77" s="594"/>
      <c r="E77" s="594"/>
      <c r="F77" s="594"/>
      <c r="G77" s="594"/>
      <c r="H77" s="465"/>
      <c r="I77" s="361"/>
      <c r="J77" s="361"/>
      <c r="K77" s="366"/>
    </row>
    <row r="78" spans="1:11" s="334" customFormat="1" ht="45" customHeight="1">
      <c r="A78" s="370" t="s">
        <v>68</v>
      </c>
      <c r="B78" s="303"/>
      <c r="C78" s="589" t="s">
        <v>182</v>
      </c>
      <c r="D78" s="594"/>
      <c r="E78" s="594"/>
      <c r="F78" s="594"/>
      <c r="G78" s="594"/>
      <c r="H78" s="465"/>
      <c r="I78" s="361"/>
      <c r="J78" s="361"/>
      <c r="K78" s="366"/>
    </row>
    <row r="79" spans="1:11" s="334" customFormat="1" ht="15.75">
      <c r="A79" s="351" t="s">
        <v>144</v>
      </c>
      <c r="B79" s="303"/>
      <c r="C79" s="349"/>
      <c r="D79" s="353"/>
      <c r="E79" s="349"/>
      <c r="F79" s="349"/>
      <c r="G79" s="349"/>
      <c r="H79" s="349"/>
      <c r="I79" s="360"/>
      <c r="J79" s="360"/>
      <c r="K79" s="366"/>
    </row>
    <row r="80" spans="1:11" s="334" customFormat="1" ht="26.25" customHeight="1">
      <c r="A80" s="351" t="s">
        <v>145</v>
      </c>
      <c r="B80" s="303"/>
      <c r="C80" s="589" t="s">
        <v>175</v>
      </c>
      <c r="D80" s="594"/>
      <c r="E80" s="594"/>
      <c r="F80" s="594"/>
      <c r="G80" s="594"/>
      <c r="H80" s="465"/>
      <c r="I80" s="361"/>
      <c r="J80" s="361"/>
      <c r="K80" s="366"/>
    </row>
    <row r="81" spans="1:11" s="334" customFormat="1" ht="48.75" customHeight="1">
      <c r="A81" s="351" t="s">
        <v>146</v>
      </c>
      <c r="B81" s="303"/>
      <c r="C81" s="589" t="s">
        <v>382</v>
      </c>
      <c r="D81" s="594"/>
      <c r="E81" s="594"/>
      <c r="F81" s="594"/>
      <c r="G81" s="594"/>
      <c r="H81" s="465"/>
      <c r="I81" s="361"/>
      <c r="J81" s="361"/>
      <c r="K81" s="366"/>
    </row>
    <row r="82" spans="1:11" s="334" customFormat="1" ht="15.75">
      <c r="A82" s="351" t="s">
        <v>100</v>
      </c>
      <c r="B82" s="303"/>
      <c r="C82" s="589" t="s">
        <v>383</v>
      </c>
      <c r="D82" s="594"/>
      <c r="E82" s="594"/>
      <c r="F82" s="594"/>
      <c r="G82" s="594"/>
      <c r="H82" s="465"/>
      <c r="I82" s="361"/>
      <c r="J82" s="361"/>
      <c r="K82" s="366"/>
    </row>
    <row r="83" spans="1:11" s="334" customFormat="1" ht="43.5" customHeight="1">
      <c r="A83" s="351" t="s">
        <v>479</v>
      </c>
      <c r="B83" s="303"/>
      <c r="C83" s="589" t="s">
        <v>177</v>
      </c>
      <c r="D83" s="594"/>
      <c r="E83" s="594"/>
      <c r="F83" s="594"/>
      <c r="G83" s="594"/>
      <c r="H83" s="465"/>
      <c r="I83" s="361"/>
      <c r="J83" s="361"/>
      <c r="K83" s="366"/>
    </row>
    <row r="84" spans="1:11" s="334" customFormat="1" ht="37.5" customHeight="1">
      <c r="A84" s="351" t="s">
        <v>480</v>
      </c>
      <c r="B84" s="303"/>
      <c r="C84" s="589" t="s">
        <v>178</v>
      </c>
      <c r="D84" s="594"/>
      <c r="E84" s="594"/>
      <c r="F84" s="594"/>
      <c r="G84" s="594"/>
      <c r="H84" s="465"/>
      <c r="I84" s="361"/>
      <c r="J84" s="361"/>
      <c r="K84" s="366"/>
    </row>
    <row r="85" spans="1:11" s="334" customFormat="1" ht="57.75" customHeight="1">
      <c r="A85" s="351" t="s">
        <v>389</v>
      </c>
      <c r="B85" s="303"/>
      <c r="C85" s="589" t="s">
        <v>185</v>
      </c>
      <c r="D85" s="594"/>
      <c r="E85" s="594"/>
      <c r="F85" s="594"/>
      <c r="G85" s="594"/>
      <c r="H85" s="465"/>
      <c r="I85" s="361"/>
      <c r="J85" s="361"/>
      <c r="K85" s="366"/>
    </row>
    <row r="86" spans="1:11" s="334" customFormat="1" ht="34.5" customHeight="1">
      <c r="A86" s="351" t="s">
        <v>87</v>
      </c>
      <c r="B86" s="303"/>
      <c r="C86" s="589" t="s">
        <v>414</v>
      </c>
      <c r="D86" s="594"/>
      <c r="E86" s="594"/>
      <c r="F86" s="594"/>
      <c r="G86" s="594"/>
      <c r="H86" s="465"/>
      <c r="I86" s="361"/>
      <c r="J86" s="361"/>
      <c r="K86" s="366"/>
    </row>
    <row r="87" spans="1:11" s="334" customFormat="1" ht="33" customHeight="1">
      <c r="A87" s="370" t="s">
        <v>141</v>
      </c>
      <c r="B87" s="305">
        <f>SUM(B57:B86)</f>
        <v>0</v>
      </c>
      <c r="C87" s="376" t="s">
        <v>381</v>
      </c>
      <c r="D87" s="368"/>
      <c r="E87" s="349"/>
      <c r="F87" s="349"/>
      <c r="G87" s="349"/>
      <c r="H87" s="349"/>
      <c r="I87" s="352"/>
      <c r="J87" s="352"/>
      <c r="K87" s="366"/>
    </row>
    <row r="88" spans="1:11" s="372" customFormat="1" ht="14.25" customHeight="1">
      <c r="A88" s="336"/>
      <c r="B88" s="371"/>
      <c r="C88" s="349"/>
      <c r="D88" s="368"/>
      <c r="E88" s="349"/>
      <c r="F88" s="349"/>
      <c r="G88" s="349"/>
      <c r="H88" s="349"/>
      <c r="I88" s="352"/>
      <c r="J88" s="352"/>
      <c r="K88" s="366"/>
    </row>
    <row r="89" spans="1:11" ht="15.75">
      <c r="A89" s="373" t="s">
        <v>309</v>
      </c>
      <c r="B89" s="374" t="s">
        <v>308</v>
      </c>
      <c r="C89" s="349"/>
      <c r="D89" s="375"/>
      <c r="E89" s="349"/>
      <c r="F89" s="349"/>
      <c r="G89" s="349"/>
      <c r="H89" s="349"/>
      <c r="I89" s="352"/>
      <c r="J89" s="352"/>
      <c r="K89" s="366"/>
    </row>
    <row r="90" spans="1:11" s="334" customFormat="1" ht="24.75" customHeight="1">
      <c r="A90" s="369" t="s">
        <v>95</v>
      </c>
      <c r="B90" s="303">
        <v>0</v>
      </c>
      <c r="C90" s="597" t="s">
        <v>391</v>
      </c>
      <c r="D90" s="594"/>
      <c r="E90" s="594"/>
      <c r="F90" s="594"/>
      <c r="G90" s="594"/>
      <c r="H90" s="465"/>
      <c r="I90" s="361"/>
      <c r="J90" s="361"/>
      <c r="K90" s="366"/>
    </row>
    <row r="91" spans="1:11" s="334" customFormat="1" ht="24" customHeight="1">
      <c r="A91" s="508" t="s">
        <v>96</v>
      </c>
      <c r="B91" s="303">
        <v>0</v>
      </c>
      <c r="C91" s="598"/>
      <c r="D91" s="594"/>
      <c r="E91" s="594"/>
      <c r="F91" s="594"/>
      <c r="G91" s="594"/>
      <c r="H91" s="465"/>
      <c r="I91" s="361"/>
      <c r="J91" s="361"/>
      <c r="K91" s="366"/>
    </row>
    <row r="92" spans="1:11" s="334" customFormat="1" ht="15.75">
      <c r="A92" s="369" t="s">
        <v>97</v>
      </c>
      <c r="B92" s="305">
        <f>SUM(B90:B91)</f>
        <v>0</v>
      </c>
      <c r="C92" s="376" t="s">
        <v>381</v>
      </c>
      <c r="D92" s="367"/>
      <c r="E92" s="349"/>
      <c r="F92" s="349"/>
      <c r="G92" s="349"/>
      <c r="H92" s="349"/>
      <c r="I92" s="360"/>
      <c r="J92" s="360"/>
      <c r="K92" s="366"/>
    </row>
    <row r="93" spans="1:11" s="334" customFormat="1" ht="73.5" customHeight="1">
      <c r="A93" s="595" t="s">
        <v>57</v>
      </c>
      <c r="B93" s="590"/>
      <c r="C93" s="590"/>
      <c r="D93" s="590"/>
      <c r="E93" s="590"/>
      <c r="F93" s="590"/>
      <c r="G93" s="590"/>
      <c r="H93" s="349"/>
      <c r="I93" s="360"/>
      <c r="J93" s="360"/>
      <c r="K93" s="366"/>
    </row>
    <row r="94" spans="1:10" s="378" customFormat="1" ht="29.25" customHeight="1">
      <c r="A94" s="596" t="s">
        <v>36</v>
      </c>
      <c r="B94" s="593"/>
      <c r="C94" s="593"/>
      <c r="D94" s="593"/>
      <c r="E94" s="593"/>
      <c r="F94" s="593"/>
      <c r="G94" s="593"/>
      <c r="H94" s="464"/>
      <c r="I94" s="377"/>
      <c r="J94" s="377"/>
    </row>
    <row r="95" spans="1:8" s="366" customFormat="1" ht="15.75" customHeight="1">
      <c r="A95" s="601" t="s">
        <v>37</v>
      </c>
      <c r="B95" s="593"/>
      <c r="C95" s="593"/>
      <c r="D95" s="593"/>
      <c r="E95" s="593"/>
      <c r="F95" s="593"/>
      <c r="G95" s="593"/>
      <c r="H95" s="380"/>
    </row>
    <row r="96" spans="1:3" s="366" customFormat="1" ht="14.25" customHeight="1">
      <c r="A96" s="599" t="s">
        <v>200</v>
      </c>
      <c r="B96" s="600"/>
      <c r="C96" s="600"/>
    </row>
    <row r="97" spans="1:8" s="366" customFormat="1" ht="15.75" customHeight="1">
      <c r="A97" s="601" t="s">
        <v>38</v>
      </c>
      <c r="B97" s="571"/>
      <c r="C97" s="571"/>
      <c r="D97" s="571"/>
      <c r="E97" s="571"/>
      <c r="F97" s="571"/>
      <c r="G97" s="571"/>
      <c r="H97" s="381"/>
    </row>
    <row r="98" spans="1:8" s="366" customFormat="1" ht="49.5" customHeight="1">
      <c r="A98" s="601" t="s">
        <v>11</v>
      </c>
      <c r="B98" s="571"/>
      <c r="C98" s="571"/>
      <c r="D98" s="571"/>
      <c r="E98" s="571"/>
      <c r="F98" s="571"/>
      <c r="G98" s="571"/>
      <c r="H98" s="381"/>
    </row>
    <row r="99" spans="1:8" s="366" customFormat="1" ht="12.75">
      <c r="A99" s="382"/>
      <c r="B99" s="247"/>
      <c r="C99" s="379"/>
      <c r="D99" s="381"/>
      <c r="E99" s="381"/>
      <c r="F99" s="381"/>
      <c r="G99" s="381"/>
      <c r="H99" s="381"/>
    </row>
    <row r="100" spans="1:2" ht="18">
      <c r="A100" s="341" t="s">
        <v>215</v>
      </c>
      <c r="B100" s="383"/>
    </row>
    <row r="101" spans="1:2" s="334" customFormat="1" ht="17.25" customHeight="1">
      <c r="A101" s="342" t="s">
        <v>12</v>
      </c>
      <c r="B101" s="343"/>
    </row>
    <row r="102" spans="1:2" s="334" customFormat="1" ht="12.75" customHeight="1">
      <c r="A102" s="342"/>
      <c r="B102" s="343"/>
    </row>
    <row r="103" spans="1:7" s="334" customFormat="1" ht="30.75" customHeight="1">
      <c r="A103" s="384" t="s">
        <v>271</v>
      </c>
      <c r="B103" s="591" t="s">
        <v>39</v>
      </c>
      <c r="C103" s="593"/>
      <c r="D103" s="593"/>
      <c r="E103" s="593"/>
      <c r="F103" s="593"/>
      <c r="G103" s="593"/>
    </row>
    <row r="104" spans="1:7" s="334" customFormat="1" ht="109.5" customHeight="1">
      <c r="A104" s="384" t="s">
        <v>270</v>
      </c>
      <c r="B104" s="591" t="s">
        <v>14</v>
      </c>
      <c r="C104" s="593"/>
      <c r="D104" s="593"/>
      <c r="E104" s="593"/>
      <c r="F104" s="593"/>
      <c r="G104" s="593"/>
    </row>
    <row r="105" spans="1:3" s="334" customFormat="1" ht="18" customHeight="1">
      <c r="A105" s="384" t="s">
        <v>247</v>
      </c>
      <c r="B105" s="591" t="s">
        <v>312</v>
      </c>
      <c r="C105" s="574"/>
    </row>
    <row r="106" spans="1:2" s="334" customFormat="1" ht="15.75">
      <c r="A106" s="387"/>
      <c r="B106" s="388"/>
    </row>
    <row r="107" spans="1:2" s="334" customFormat="1" ht="15.75">
      <c r="A107" s="345" t="s">
        <v>368</v>
      </c>
      <c r="B107" s="200">
        <v>2001</v>
      </c>
    </row>
    <row r="108" ht="12.75">
      <c r="A108" s="389"/>
    </row>
    <row r="109" spans="1:10" ht="36">
      <c r="A109" s="390" t="s">
        <v>451</v>
      </c>
      <c r="B109" s="391" t="s">
        <v>13</v>
      </c>
      <c r="D109" s="392"/>
      <c r="E109" s="380"/>
      <c r="F109" s="380"/>
      <c r="G109" s="380"/>
      <c r="H109" s="380"/>
      <c r="I109" s="380"/>
      <c r="J109" s="380"/>
    </row>
    <row r="110" spans="1:10" s="334" customFormat="1" ht="15.75">
      <c r="A110" s="393" t="s">
        <v>313</v>
      </c>
      <c r="B110" s="541">
        <v>105.2</v>
      </c>
      <c r="D110" s="394"/>
      <c r="E110" s="394"/>
      <c r="F110" s="394"/>
      <c r="G110" s="394"/>
      <c r="H110" s="394"/>
      <c r="I110" s="394"/>
      <c r="J110" s="394"/>
    </row>
    <row r="111" spans="1:10" s="334" customFormat="1" ht="15.75">
      <c r="A111" s="393" t="s">
        <v>108</v>
      </c>
      <c r="B111" s="541">
        <v>24.2</v>
      </c>
      <c r="D111" s="394"/>
      <c r="E111" s="394"/>
      <c r="F111" s="394"/>
      <c r="G111" s="394"/>
      <c r="H111" s="394"/>
      <c r="I111" s="394"/>
      <c r="J111" s="394"/>
    </row>
    <row r="112" spans="1:2" s="334" customFormat="1" ht="15.75">
      <c r="A112" s="345" t="s">
        <v>109</v>
      </c>
      <c r="B112" s="541">
        <v>12.6</v>
      </c>
    </row>
    <row r="113" spans="1:2" s="334" customFormat="1" ht="15.75">
      <c r="A113" s="345" t="s">
        <v>147</v>
      </c>
      <c r="B113" s="541">
        <v>47</v>
      </c>
    </row>
    <row r="114" spans="1:2" s="334" customFormat="1" ht="15.75">
      <c r="A114" s="345" t="s">
        <v>314</v>
      </c>
      <c r="B114" s="541">
        <v>71.4</v>
      </c>
    </row>
    <row r="115" spans="1:2" s="334" customFormat="1" ht="15.75">
      <c r="A115" s="345" t="s">
        <v>315</v>
      </c>
      <c r="B115" s="541">
        <v>8.8</v>
      </c>
    </row>
    <row r="116" spans="1:2" s="334" customFormat="1" ht="15.75">
      <c r="A116" s="345" t="s">
        <v>316</v>
      </c>
      <c r="B116" s="541">
        <v>8.9</v>
      </c>
    </row>
    <row r="117" spans="1:2" s="334" customFormat="1" ht="15.75">
      <c r="A117" s="345" t="s">
        <v>110</v>
      </c>
      <c r="B117" s="541">
        <v>6.6</v>
      </c>
    </row>
    <row r="118" spans="1:2" s="334" customFormat="1" ht="15.75">
      <c r="A118" s="345" t="s">
        <v>107</v>
      </c>
      <c r="B118" s="541">
        <v>3.4</v>
      </c>
    </row>
    <row r="119" spans="1:2" s="334" customFormat="1" ht="15.75">
      <c r="A119" s="345" t="s">
        <v>398</v>
      </c>
      <c r="B119" s="201">
        <f>SUM(B110:B118)</f>
        <v>288.09999999999997</v>
      </c>
    </row>
    <row r="120" spans="1:7" s="334" customFormat="1" ht="36" customHeight="1">
      <c r="A120" s="601" t="s">
        <v>222</v>
      </c>
      <c r="B120" s="575"/>
      <c r="C120" s="575"/>
      <c r="D120" s="576"/>
      <c r="E120" s="576"/>
      <c r="F120" s="576"/>
      <c r="G120" s="576"/>
    </row>
    <row r="121" spans="1:2" ht="14.25">
      <c r="A121" s="395"/>
      <c r="B121" s="396"/>
    </row>
    <row r="122" spans="1:3" ht="17.25" customHeight="1">
      <c r="A122" s="578" t="s">
        <v>216</v>
      </c>
      <c r="B122" s="577"/>
      <c r="C122" s="577"/>
    </row>
    <row r="123" spans="1:2" s="334" customFormat="1" ht="15">
      <c r="A123" s="342" t="s">
        <v>12</v>
      </c>
      <c r="B123" s="343"/>
    </row>
    <row r="124" spans="1:2" s="334" customFormat="1" ht="15">
      <c r="A124" s="342"/>
      <c r="B124" s="343"/>
    </row>
    <row r="125" spans="1:7" s="334" customFormat="1" ht="48.75" customHeight="1">
      <c r="A125" s="384" t="s">
        <v>271</v>
      </c>
      <c r="B125" s="591" t="s">
        <v>40</v>
      </c>
      <c r="C125" s="574"/>
      <c r="D125" s="577"/>
      <c r="E125" s="577"/>
      <c r="F125" s="577"/>
      <c r="G125" s="577"/>
    </row>
    <row r="126" spans="1:7" s="334" customFormat="1" ht="17.25" customHeight="1">
      <c r="A126" s="384" t="s">
        <v>270</v>
      </c>
      <c r="B126" s="591" t="s">
        <v>298</v>
      </c>
      <c r="C126" s="574"/>
      <c r="D126" s="600"/>
      <c r="E126" s="600"/>
      <c r="F126" s="600"/>
      <c r="G126" s="600"/>
    </row>
    <row r="127" spans="1:3" s="334" customFormat="1" ht="16.5" customHeight="1">
      <c r="A127" s="384" t="s">
        <v>247</v>
      </c>
      <c r="B127" s="591" t="s">
        <v>273</v>
      </c>
      <c r="C127" s="574"/>
    </row>
    <row r="128" spans="1:2" s="334" customFormat="1" ht="15.75">
      <c r="A128" s="387"/>
      <c r="B128" s="397"/>
    </row>
    <row r="129" spans="1:4" s="334" customFormat="1" ht="15.75">
      <c r="A129" s="345" t="s">
        <v>368</v>
      </c>
      <c r="B129" s="199">
        <v>2002</v>
      </c>
      <c r="D129" s="346"/>
    </row>
    <row r="130" ht="12.75">
      <c r="A130" s="389"/>
    </row>
    <row r="131" spans="1:2" ht="41.25" customHeight="1">
      <c r="A131" s="398" t="s">
        <v>450</v>
      </c>
      <c r="B131" s="391" t="s">
        <v>299</v>
      </c>
    </row>
    <row r="132" spans="1:2" s="334" customFormat="1" ht="15.75">
      <c r="A132" s="345" t="s">
        <v>402</v>
      </c>
      <c r="B132" s="450">
        <v>12.56</v>
      </c>
    </row>
    <row r="133" spans="1:2" s="334" customFormat="1" ht="15.75">
      <c r="A133" s="345" t="s">
        <v>396</v>
      </c>
      <c r="B133" s="450">
        <v>45.79</v>
      </c>
    </row>
    <row r="134" spans="1:2" s="334" customFormat="1" ht="15.75">
      <c r="A134" s="345" t="s">
        <v>400</v>
      </c>
      <c r="B134" s="450">
        <v>23.82</v>
      </c>
    </row>
    <row r="135" spans="1:2" s="334" customFormat="1" ht="15.75">
      <c r="A135" s="345" t="s">
        <v>395</v>
      </c>
      <c r="B135" s="450">
        <v>69.74</v>
      </c>
    </row>
    <row r="136" spans="1:2" s="334" customFormat="1" ht="15.75">
      <c r="A136" s="345" t="s">
        <v>457</v>
      </c>
      <c r="B136" s="450">
        <v>111.9</v>
      </c>
    </row>
    <row r="137" spans="1:2" s="334" customFormat="1" ht="15.75">
      <c r="A137" s="345" t="s">
        <v>398</v>
      </c>
      <c r="B137" s="201">
        <f>SUM(B132:B136)</f>
        <v>263.81</v>
      </c>
    </row>
    <row r="138" spans="1:7" ht="12.75">
      <c r="A138" s="601"/>
      <c r="B138" s="572"/>
      <c r="C138" s="572"/>
      <c r="D138" s="573"/>
      <c r="E138" s="573"/>
      <c r="F138" s="573"/>
      <c r="G138" s="573"/>
    </row>
    <row r="139" ht="12.75">
      <c r="B139" s="399"/>
    </row>
    <row r="140" ht="18">
      <c r="A140" s="341" t="s">
        <v>416</v>
      </c>
    </row>
    <row r="141" spans="1:2" s="334" customFormat="1" ht="15">
      <c r="A141" s="342" t="s">
        <v>12</v>
      </c>
      <c r="B141" s="343"/>
    </row>
    <row r="142" spans="1:2" s="334" customFormat="1" ht="15">
      <c r="A142" s="342"/>
      <c r="B142" s="343"/>
    </row>
    <row r="143" spans="1:7" s="334" customFormat="1" ht="50.25" customHeight="1">
      <c r="A143" s="401" t="s">
        <v>274</v>
      </c>
      <c r="B143" s="565" t="s">
        <v>41</v>
      </c>
      <c r="C143" s="566"/>
      <c r="D143" s="600"/>
      <c r="E143" s="600"/>
      <c r="F143" s="600"/>
      <c r="G143" s="600"/>
    </row>
    <row r="144" spans="1:3" s="334" customFormat="1" ht="50.25" customHeight="1">
      <c r="A144" s="401" t="s">
        <v>248</v>
      </c>
      <c r="B144" s="562" t="s">
        <v>273</v>
      </c>
      <c r="C144" s="563"/>
    </row>
    <row r="145" spans="1:3" s="334" customFormat="1" ht="15.75">
      <c r="A145" s="401"/>
      <c r="B145" s="385"/>
      <c r="C145" s="386"/>
    </row>
    <row r="146" spans="1:7" s="334" customFormat="1" ht="75" customHeight="1">
      <c r="A146" s="401" t="s">
        <v>275</v>
      </c>
      <c r="B146" s="591" t="s">
        <v>15</v>
      </c>
      <c r="C146" s="574"/>
      <c r="D146" s="600"/>
      <c r="E146" s="600"/>
      <c r="F146" s="600"/>
      <c r="G146" s="600"/>
    </row>
    <row r="147" spans="1:3" ht="12.75">
      <c r="A147" s="402"/>
      <c r="B147" s="403"/>
      <c r="C147" s="404"/>
    </row>
    <row r="148" spans="1:10" ht="34.5">
      <c r="A148" s="405" t="s">
        <v>450</v>
      </c>
      <c r="B148" s="391" t="s">
        <v>300</v>
      </c>
      <c r="D148" s="380"/>
      <c r="E148" s="380"/>
      <c r="F148" s="380"/>
      <c r="G148" s="380"/>
      <c r="H148" s="380"/>
      <c r="I148" s="380"/>
      <c r="J148" s="380"/>
    </row>
    <row r="149" spans="1:10" s="334" customFormat="1" ht="15.75">
      <c r="A149" s="339" t="s">
        <v>430</v>
      </c>
      <c r="B149" s="542">
        <v>2002</v>
      </c>
      <c r="D149" s="394"/>
      <c r="E149" s="394"/>
      <c r="F149" s="394"/>
      <c r="G149" s="394"/>
      <c r="H149" s="394"/>
      <c r="I149" s="394"/>
      <c r="J149" s="394"/>
    </row>
    <row r="150" spans="1:10" s="334" customFormat="1" ht="15.75">
      <c r="A150" s="339" t="s">
        <v>401</v>
      </c>
      <c r="B150" s="450">
        <v>3916.3</v>
      </c>
      <c r="D150" s="394"/>
      <c r="E150" s="394"/>
      <c r="F150" s="394"/>
      <c r="G150" s="394"/>
      <c r="H150" s="394"/>
      <c r="I150" s="394"/>
      <c r="J150" s="394"/>
    </row>
    <row r="151" spans="1:10" s="334" customFormat="1" ht="15.75">
      <c r="A151" s="339" t="s">
        <v>400</v>
      </c>
      <c r="B151" s="450">
        <v>951.2</v>
      </c>
      <c r="D151" s="394"/>
      <c r="E151" s="394"/>
      <c r="F151" s="394"/>
      <c r="G151" s="394"/>
      <c r="H151" s="394"/>
      <c r="I151" s="394"/>
      <c r="J151" s="394"/>
    </row>
    <row r="152" spans="1:2" s="334" customFormat="1" ht="15.75">
      <c r="A152" s="339" t="s">
        <v>399</v>
      </c>
      <c r="B152" s="450">
        <v>696.4</v>
      </c>
    </row>
    <row r="153" spans="1:2" s="334" customFormat="1" ht="15.75">
      <c r="A153" s="339" t="s">
        <v>396</v>
      </c>
      <c r="B153" s="450">
        <v>1267.3</v>
      </c>
    </row>
    <row r="154" spans="1:2" s="334" customFormat="1" ht="15.75">
      <c r="A154" s="339" t="s">
        <v>395</v>
      </c>
      <c r="B154" s="450">
        <v>1001.5</v>
      </c>
    </row>
    <row r="155" spans="1:7" s="334" customFormat="1" ht="36" customHeight="1">
      <c r="A155" s="567" t="s">
        <v>223</v>
      </c>
      <c r="B155" s="568"/>
      <c r="C155" s="568"/>
      <c r="D155" s="568"/>
      <c r="E155" s="568"/>
      <c r="F155" s="568"/>
      <c r="G155" s="568"/>
    </row>
    <row r="156" ht="12.75">
      <c r="B156" s="406"/>
    </row>
    <row r="157" spans="1:7" s="334" customFormat="1" ht="66.75" customHeight="1">
      <c r="A157" s="401" t="s">
        <v>276</v>
      </c>
      <c r="B157" s="591" t="s">
        <v>16</v>
      </c>
      <c r="C157" s="574"/>
      <c r="D157" s="600"/>
      <c r="E157" s="600"/>
      <c r="F157" s="600"/>
      <c r="G157" s="600"/>
    </row>
    <row r="159" spans="1:10" ht="31.5">
      <c r="A159" s="405" t="s">
        <v>451</v>
      </c>
      <c r="B159" s="391" t="s">
        <v>310</v>
      </c>
      <c r="D159" s="392"/>
      <c r="E159" s="350"/>
      <c r="F159" s="350"/>
      <c r="G159" s="350"/>
      <c r="H159" s="350"/>
      <c r="I159" s="350"/>
      <c r="J159" s="350"/>
    </row>
    <row r="160" spans="1:10" s="334" customFormat="1" ht="15.75">
      <c r="A160" s="339" t="s">
        <v>430</v>
      </c>
      <c r="B160" s="199">
        <v>2002</v>
      </c>
      <c r="D160" s="394"/>
      <c r="E160" s="394"/>
      <c r="F160" s="394"/>
      <c r="G160" s="394"/>
      <c r="H160" s="394"/>
      <c r="I160" s="394"/>
      <c r="J160" s="394"/>
    </row>
    <row r="161" spans="1:10" s="334" customFormat="1" ht="15.75">
      <c r="A161" s="339" t="s">
        <v>152</v>
      </c>
      <c r="B161" s="202">
        <v>1425.6</v>
      </c>
      <c r="D161" s="394"/>
      <c r="E161" s="394"/>
      <c r="F161" s="394"/>
      <c r="G161" s="394"/>
      <c r="H161" s="394"/>
      <c r="I161" s="394"/>
      <c r="J161" s="394"/>
    </row>
    <row r="162" spans="1:10" s="334" customFormat="1" ht="15.75">
      <c r="A162" s="339" t="s">
        <v>153</v>
      </c>
      <c r="B162" s="202">
        <v>710.7</v>
      </c>
      <c r="D162" s="394"/>
      <c r="E162" s="394"/>
      <c r="F162" s="394"/>
      <c r="G162" s="394"/>
      <c r="H162" s="394"/>
      <c r="I162" s="394"/>
      <c r="J162" s="394"/>
    </row>
    <row r="163" spans="1:10" s="334" customFormat="1" ht="15.75">
      <c r="A163" s="339" t="s">
        <v>154</v>
      </c>
      <c r="B163" s="202">
        <v>1441.9</v>
      </c>
      <c r="D163" s="394"/>
      <c r="E163" s="394"/>
      <c r="F163" s="394"/>
      <c r="G163" s="394"/>
      <c r="H163" s="394"/>
      <c r="I163" s="394"/>
      <c r="J163" s="394"/>
    </row>
    <row r="164" spans="1:10" s="334" customFormat="1" ht="15.75">
      <c r="A164" s="339" t="s">
        <v>155</v>
      </c>
      <c r="B164" s="202">
        <v>22.5</v>
      </c>
      <c r="D164" s="394"/>
      <c r="E164" s="394"/>
      <c r="F164" s="394"/>
      <c r="G164" s="394"/>
      <c r="H164" s="394"/>
      <c r="I164" s="394"/>
      <c r="J164" s="394"/>
    </row>
    <row r="165" spans="1:10" s="334" customFormat="1" ht="15.75">
      <c r="A165" s="339" t="s">
        <v>156</v>
      </c>
      <c r="B165" s="202">
        <v>794.3</v>
      </c>
      <c r="D165" s="394"/>
      <c r="E165" s="394"/>
      <c r="F165" s="394"/>
      <c r="G165" s="394"/>
      <c r="H165" s="394"/>
      <c r="I165" s="394"/>
      <c r="J165" s="394"/>
    </row>
    <row r="166" spans="4:10" ht="12.75">
      <c r="D166" s="392"/>
      <c r="E166" s="350"/>
      <c r="F166" s="350"/>
      <c r="G166" s="350"/>
      <c r="H166" s="350"/>
      <c r="I166" s="350"/>
      <c r="J166" s="350"/>
    </row>
    <row r="167" spans="1:10" s="334" customFormat="1" ht="76.5" customHeight="1">
      <c r="A167" s="401" t="s">
        <v>277</v>
      </c>
      <c r="B167" s="591" t="s">
        <v>17</v>
      </c>
      <c r="C167" s="574"/>
      <c r="D167" s="600"/>
      <c r="E167" s="600"/>
      <c r="F167" s="600"/>
      <c r="G167" s="600"/>
      <c r="H167" s="394"/>
      <c r="I167" s="394"/>
      <c r="J167" s="394"/>
    </row>
    <row r="168" spans="4:10" ht="12.75">
      <c r="D168" s="350"/>
      <c r="E168" s="350"/>
      <c r="F168" s="350"/>
      <c r="G168" s="350"/>
      <c r="H168" s="350"/>
      <c r="I168" s="350"/>
      <c r="J168" s="350"/>
    </row>
    <row r="169" spans="2:10" ht="15.75">
      <c r="B169" s="407" t="s">
        <v>150</v>
      </c>
      <c r="D169" s="350"/>
      <c r="E169" s="350"/>
      <c r="F169" s="350"/>
      <c r="G169" s="350"/>
      <c r="H169" s="350"/>
      <c r="I169" s="350"/>
      <c r="J169" s="350"/>
    </row>
    <row r="170" spans="1:10" ht="15.75">
      <c r="A170" s="405" t="s">
        <v>450</v>
      </c>
      <c r="B170" s="391" t="s">
        <v>151</v>
      </c>
      <c r="D170" s="380"/>
      <c r="E170" s="380"/>
      <c r="F170" s="380"/>
      <c r="G170" s="380"/>
      <c r="H170" s="380"/>
      <c r="I170" s="380"/>
      <c r="J170" s="380"/>
    </row>
    <row r="171" spans="1:10" s="334" customFormat="1" ht="15.75">
      <c r="A171" s="339" t="s">
        <v>430</v>
      </c>
      <c r="B171" s="199">
        <v>2002</v>
      </c>
      <c r="D171" s="394"/>
      <c r="E171" s="394"/>
      <c r="F171" s="394"/>
      <c r="G171" s="394"/>
      <c r="H171" s="394"/>
      <c r="I171" s="394"/>
      <c r="J171" s="394"/>
    </row>
    <row r="172" spans="1:10" s="334" customFormat="1" ht="15.75">
      <c r="A172" s="339" t="s">
        <v>398</v>
      </c>
      <c r="B172" s="543">
        <v>28701.1</v>
      </c>
      <c r="D172" s="394"/>
      <c r="E172" s="394"/>
      <c r="F172" s="394"/>
      <c r="G172" s="394"/>
      <c r="H172" s="394"/>
      <c r="I172" s="394"/>
      <c r="J172" s="394"/>
    </row>
    <row r="173" spans="1:10" s="334" customFormat="1" ht="15.75">
      <c r="A173" s="339" t="s">
        <v>400</v>
      </c>
      <c r="B173" s="543">
        <v>8331.1</v>
      </c>
      <c r="D173" s="394"/>
      <c r="E173" s="394"/>
      <c r="F173" s="394"/>
      <c r="G173" s="394"/>
      <c r="H173" s="394"/>
      <c r="I173" s="394"/>
      <c r="J173" s="394"/>
    </row>
    <row r="174" spans="1:10" s="334" customFormat="1" ht="15.75">
      <c r="A174" s="339" t="s">
        <v>402</v>
      </c>
      <c r="B174" s="543">
        <v>5145.1</v>
      </c>
      <c r="D174" s="394"/>
      <c r="E174" s="394"/>
      <c r="F174" s="394"/>
      <c r="G174" s="394"/>
      <c r="H174" s="394"/>
      <c r="I174" s="394"/>
      <c r="J174" s="394"/>
    </row>
    <row r="175" spans="1:10" s="334" customFormat="1" ht="15.75">
      <c r="A175" s="339" t="s">
        <v>396</v>
      </c>
      <c r="B175" s="543">
        <v>5503.9</v>
      </c>
      <c r="D175" s="394"/>
      <c r="E175" s="394"/>
      <c r="F175" s="394"/>
      <c r="G175" s="394"/>
      <c r="H175" s="394"/>
      <c r="I175" s="394"/>
      <c r="J175" s="394"/>
    </row>
    <row r="176" spans="1:10" s="334" customFormat="1" ht="15.75">
      <c r="A176" s="339" t="s">
        <v>395</v>
      </c>
      <c r="B176" s="543">
        <v>9721</v>
      </c>
      <c r="D176" s="394"/>
      <c r="E176" s="394"/>
      <c r="F176" s="394"/>
      <c r="G176" s="394"/>
      <c r="H176" s="394"/>
      <c r="I176" s="394"/>
      <c r="J176" s="394"/>
    </row>
    <row r="177" spans="2:10" ht="12.75">
      <c r="B177" s="408"/>
      <c r="D177" s="380"/>
      <c r="E177" s="380"/>
      <c r="F177" s="380"/>
      <c r="G177" s="380"/>
      <c r="H177" s="380"/>
      <c r="I177" s="380"/>
      <c r="J177" s="380"/>
    </row>
    <row r="178" spans="2:10" ht="12.75">
      <c r="B178" s="408"/>
      <c r="D178" s="380"/>
      <c r="E178" s="380"/>
      <c r="F178" s="380"/>
      <c r="G178" s="380"/>
      <c r="H178" s="380"/>
      <c r="I178" s="380"/>
      <c r="J178" s="380"/>
    </row>
    <row r="179" spans="1:10" s="334" customFormat="1" ht="37.5" customHeight="1">
      <c r="A179" s="401" t="s">
        <v>278</v>
      </c>
      <c r="B179" s="562" t="s">
        <v>42</v>
      </c>
      <c r="C179" s="563"/>
      <c r="D179" s="564"/>
      <c r="E179" s="564"/>
      <c r="F179" s="564"/>
      <c r="G179" s="564"/>
      <c r="H179" s="394"/>
      <c r="I179" s="394"/>
      <c r="J179" s="394"/>
    </row>
    <row r="180" spans="1:10" s="334" customFormat="1" ht="31.5">
      <c r="A180" s="401" t="s">
        <v>279</v>
      </c>
      <c r="B180" s="561" t="s">
        <v>363</v>
      </c>
      <c r="C180" s="592"/>
      <c r="D180" s="600"/>
      <c r="E180" s="600"/>
      <c r="F180" s="600"/>
      <c r="G180" s="600"/>
      <c r="H180" s="394"/>
      <c r="I180" s="394"/>
      <c r="J180" s="394"/>
    </row>
    <row r="181" spans="1:10" s="334" customFormat="1" ht="31.5">
      <c r="A181" s="401" t="s">
        <v>249</v>
      </c>
      <c r="B181" s="409" t="s">
        <v>385</v>
      </c>
      <c r="D181" s="394"/>
      <c r="E181" s="394"/>
      <c r="F181" s="394"/>
      <c r="G181" s="394"/>
      <c r="H181" s="394"/>
      <c r="I181" s="394"/>
      <c r="J181" s="394"/>
    </row>
    <row r="183" spans="1:2" ht="15.75">
      <c r="A183" s="410" t="s">
        <v>448</v>
      </c>
      <c r="B183" s="391" t="s">
        <v>449</v>
      </c>
    </row>
    <row r="184" spans="1:4" s="334" customFormat="1" ht="15.75">
      <c r="A184" s="339" t="s">
        <v>430</v>
      </c>
      <c r="B184" s="542">
        <v>1995</v>
      </c>
      <c r="D184" s="346"/>
    </row>
    <row r="185" spans="1:2" s="334" customFormat="1" ht="15.75">
      <c r="A185" s="339" t="s">
        <v>162</v>
      </c>
      <c r="B185" s="541">
        <v>168.9</v>
      </c>
    </row>
    <row r="186" spans="1:2" s="334" customFormat="1" ht="15.75">
      <c r="A186" s="339" t="s">
        <v>163</v>
      </c>
      <c r="B186" s="541">
        <v>57.3</v>
      </c>
    </row>
    <row r="187" spans="1:2" s="334" customFormat="1" ht="15.75">
      <c r="A187" s="339" t="s">
        <v>164</v>
      </c>
      <c r="B187" s="541">
        <v>39.3</v>
      </c>
    </row>
    <row r="188" ht="12.75">
      <c r="B188" s="406"/>
    </row>
    <row r="190" ht="18">
      <c r="A190" s="400" t="s">
        <v>417</v>
      </c>
    </row>
    <row r="191" spans="1:2" s="334" customFormat="1" ht="15">
      <c r="A191" s="342" t="s">
        <v>12</v>
      </c>
      <c r="B191" s="343"/>
    </row>
    <row r="192" spans="1:2" s="334" customFormat="1" ht="15">
      <c r="A192" s="342"/>
      <c r="B192" s="343"/>
    </row>
    <row r="193" spans="1:7" s="334" customFormat="1" ht="29.25" customHeight="1">
      <c r="A193" s="384" t="s">
        <v>271</v>
      </c>
      <c r="B193" s="591" t="s">
        <v>43</v>
      </c>
      <c r="C193" s="592"/>
      <c r="D193" s="600"/>
      <c r="E193" s="600"/>
      <c r="F193" s="600"/>
      <c r="G193" s="600"/>
    </row>
    <row r="194" spans="1:6" s="334" customFormat="1" ht="15.75">
      <c r="A194" s="384" t="s">
        <v>270</v>
      </c>
      <c r="B194" s="591" t="s">
        <v>281</v>
      </c>
      <c r="C194" s="592"/>
      <c r="D194" s="593"/>
      <c r="E194" s="593"/>
      <c r="F194" s="593"/>
    </row>
    <row r="195" spans="1:2" s="334" customFormat="1" ht="15.75">
      <c r="A195" s="384" t="s">
        <v>247</v>
      </c>
      <c r="B195" s="411" t="s">
        <v>364</v>
      </c>
    </row>
    <row r="196" spans="1:2" ht="12.75">
      <c r="A196" s="402"/>
      <c r="B196" s="412"/>
    </row>
    <row r="197" spans="1:2" ht="15.75">
      <c r="A197" s="346"/>
      <c r="B197" s="391" t="s">
        <v>280</v>
      </c>
    </row>
    <row r="198" spans="1:2" s="334" customFormat="1" ht="15.75">
      <c r="A198" s="339" t="s">
        <v>430</v>
      </c>
      <c r="B198" s="544">
        <v>2000</v>
      </c>
    </row>
    <row r="199" spans="1:2" s="334" customFormat="1" ht="15.75">
      <c r="A199" s="339" t="s">
        <v>111</v>
      </c>
      <c r="B199" s="303">
        <v>4777003</v>
      </c>
    </row>
  </sheetData>
  <sheetProtection password="C62B" sheet="1" objects="1" scenarios="1" selectLockedCells="1"/>
  <mergeCells count="56">
    <mergeCell ref="C53:G53"/>
    <mergeCell ref="C56:G56"/>
    <mergeCell ref="C30:G30"/>
    <mergeCell ref="C49:G49"/>
    <mergeCell ref="C51:G51"/>
    <mergeCell ref="C52:G52"/>
    <mergeCell ref="C45:G45"/>
    <mergeCell ref="C46:G46"/>
    <mergeCell ref="C47:G47"/>
    <mergeCell ref="C48:G48"/>
    <mergeCell ref="B146:G146"/>
    <mergeCell ref="B193:G193"/>
    <mergeCell ref="B180:G180"/>
    <mergeCell ref="B126:G126"/>
    <mergeCell ref="B157:G157"/>
    <mergeCell ref="B167:G167"/>
    <mergeCell ref="B179:G179"/>
    <mergeCell ref="B143:G143"/>
    <mergeCell ref="B144:C144"/>
    <mergeCell ref="A155:G155"/>
    <mergeCell ref="A1:C1"/>
    <mergeCell ref="A5:B5"/>
    <mergeCell ref="C59:F59"/>
    <mergeCell ref="B105:C105"/>
    <mergeCell ref="C36:G36"/>
    <mergeCell ref="C40:G40"/>
    <mergeCell ref="C42:G42"/>
    <mergeCell ref="C43:G43"/>
    <mergeCell ref="C70:F70"/>
    <mergeCell ref="A95:G95"/>
    <mergeCell ref="A138:G138"/>
    <mergeCell ref="B127:C127"/>
    <mergeCell ref="A120:G120"/>
    <mergeCell ref="B125:G125"/>
    <mergeCell ref="A122:C122"/>
    <mergeCell ref="B103:G103"/>
    <mergeCell ref="A94:G94"/>
    <mergeCell ref="C90:G91"/>
    <mergeCell ref="B104:G104"/>
    <mergeCell ref="A96:C96"/>
    <mergeCell ref="A97:G97"/>
    <mergeCell ref="A98:G98"/>
    <mergeCell ref="C80:G80"/>
    <mergeCell ref="C86:G86"/>
    <mergeCell ref="C85:G85"/>
    <mergeCell ref="C84:G84"/>
    <mergeCell ref="C7:G7"/>
    <mergeCell ref="C69:G69"/>
    <mergeCell ref="B194:F194"/>
    <mergeCell ref="C78:G78"/>
    <mergeCell ref="C77:G77"/>
    <mergeCell ref="C75:G75"/>
    <mergeCell ref="A93:G93"/>
    <mergeCell ref="C83:G83"/>
    <mergeCell ref="C82:G82"/>
    <mergeCell ref="C81:G81"/>
  </mergeCells>
  <printOptions/>
  <pageMargins left="0.75" right="0.75" top="1" bottom="1" header="0.5" footer="0.5"/>
  <pageSetup horizontalDpi="300" verticalDpi="300" orientation="landscape" scale="93" r:id="rId3"/>
  <headerFooter alignWithMargins="0">
    <oddFooter>&amp;LNortheast Recycling Council, Inc. (NERC)
© September 2006&amp;CPage &amp;P&amp;R&amp;A</oddFooter>
  </headerFooter>
  <rowBreaks count="7" manualBreakCount="7">
    <brk id="28" max="255" man="1"/>
    <brk id="88" max="255" man="1"/>
    <brk id="99" max="255" man="1"/>
    <brk id="121" max="255" man="1"/>
    <brk id="139" max="255" man="1"/>
    <brk id="157" max="6" man="1"/>
    <brk id="181" max="255" man="1"/>
  </rowBreaks>
  <legacyDrawing r:id="rId2"/>
</worksheet>
</file>

<file path=xl/worksheets/sheet3.xml><?xml version="1.0" encoding="utf-8"?>
<worksheet xmlns="http://schemas.openxmlformats.org/spreadsheetml/2006/main" xmlns:r="http://schemas.openxmlformats.org/officeDocument/2006/relationships">
  <dimension ref="A1:T1064"/>
  <sheetViews>
    <sheetView zoomScale="75" zoomScaleNormal="75" zoomScaleSheetLayoutView="50" workbookViewId="0" topLeftCell="A1">
      <selection activeCell="A23" sqref="A23"/>
    </sheetView>
  </sheetViews>
  <sheetFormatPr defaultColWidth="9.140625" defaultRowHeight="12.75"/>
  <cols>
    <col min="1" max="1" width="37.28125" style="217" customWidth="1"/>
    <col min="2" max="2" width="20.00390625" style="8" customWidth="1"/>
    <col min="3" max="3" width="19.421875" style="8" customWidth="1"/>
    <col min="4" max="4" width="18.00390625" style="8" customWidth="1"/>
    <col min="5" max="5" width="19.28125" style="5" customWidth="1"/>
    <col min="6" max="6" width="16.7109375" style="5" customWidth="1"/>
    <col min="7" max="7" width="20.00390625" style="5" customWidth="1"/>
    <col min="8" max="8" width="18.140625" style="5" customWidth="1"/>
    <col min="9" max="9" width="26.421875" style="0" customWidth="1"/>
    <col min="10" max="11" width="19.421875" style="0" customWidth="1"/>
  </cols>
  <sheetData>
    <row r="1" spans="1:7" ht="34.5" customHeight="1">
      <c r="A1" s="586" t="s">
        <v>125</v>
      </c>
      <c r="B1" s="571"/>
      <c r="C1" s="571"/>
      <c r="D1" s="571"/>
      <c r="E1" s="571"/>
      <c r="F1" s="571"/>
      <c r="G1" s="571"/>
    </row>
    <row r="2" ht="15">
      <c r="A2" s="219" t="s">
        <v>283</v>
      </c>
    </row>
    <row r="3" ht="15">
      <c r="A3" s="304" t="s">
        <v>140</v>
      </c>
    </row>
    <row r="4" ht="12.75"/>
    <row r="5" spans="1:8" s="89" customFormat="1" ht="23.25">
      <c r="A5" s="125" t="s">
        <v>362</v>
      </c>
      <c r="E5" s="90"/>
      <c r="F5" s="90"/>
      <c r="G5" s="90"/>
      <c r="H5" s="90"/>
    </row>
    <row r="6" spans="1:4" ht="18">
      <c r="A6" s="16" t="s">
        <v>434</v>
      </c>
      <c r="B6" s="3"/>
      <c r="C6" s="3"/>
      <c r="D6" s="533" t="str">
        <f>'Wksht 1. Data Inputs'!B7</f>
        <v>Pennsylvania</v>
      </c>
    </row>
    <row r="7" spans="1:20" s="8" customFormat="1" ht="32.25" customHeight="1">
      <c r="A7" s="614" t="s">
        <v>421</v>
      </c>
      <c r="B7" s="554"/>
      <c r="C7" s="554"/>
      <c r="D7" s="554"/>
      <c r="E7" s="554"/>
      <c r="F7" s="554"/>
      <c r="G7" s="88"/>
      <c r="H7" s="88"/>
      <c r="Q7" s="13"/>
      <c r="R7" s="13"/>
      <c r="S7" s="12"/>
      <c r="T7" s="12"/>
    </row>
    <row r="8" spans="1:20" s="8" customFormat="1" ht="12.75">
      <c r="A8" s="20"/>
      <c r="B8" s="7"/>
      <c r="C8" s="7"/>
      <c r="D8" s="7"/>
      <c r="E8" s="10"/>
      <c r="F8" s="10"/>
      <c r="G8" s="10"/>
      <c r="H8" s="10"/>
      <c r="Q8" s="13"/>
      <c r="R8" s="13"/>
      <c r="S8" s="12"/>
      <c r="T8" s="12"/>
    </row>
    <row r="9" spans="1:20" s="8" customFormat="1" ht="12.75">
      <c r="A9" s="85" t="s">
        <v>219</v>
      </c>
      <c r="B9" s="534">
        <f>'Wksht 1. Data Inputs'!B9</f>
        <v>39203</v>
      </c>
      <c r="D9" s="7"/>
      <c r="E9" s="10"/>
      <c r="F9" s="10"/>
      <c r="G9" s="10"/>
      <c r="H9" s="10"/>
      <c r="Q9" s="13"/>
      <c r="R9" s="13"/>
      <c r="S9" s="12"/>
      <c r="T9" s="12"/>
    </row>
    <row r="10" spans="1:20" s="8" customFormat="1" ht="12.75">
      <c r="A10" s="217"/>
      <c r="B10" s="7"/>
      <c r="C10" s="7"/>
      <c r="D10" s="7"/>
      <c r="F10" s="10"/>
      <c r="G10" s="10"/>
      <c r="H10" s="10"/>
      <c r="Q10" s="4"/>
      <c r="R10" s="4"/>
      <c r="S10" s="131"/>
      <c r="T10" s="131"/>
    </row>
    <row r="11" spans="1:20" s="8" customFormat="1" ht="18">
      <c r="A11" s="16" t="s">
        <v>148</v>
      </c>
      <c r="B11" s="7"/>
      <c r="C11" s="7"/>
      <c r="D11" s="7"/>
      <c r="E11" s="10"/>
      <c r="F11" s="10"/>
      <c r="G11" s="10"/>
      <c r="H11" s="10"/>
      <c r="Q11" s="4"/>
      <c r="R11" s="4"/>
      <c r="S11" s="131"/>
      <c r="T11" s="131"/>
    </row>
    <row r="12" spans="1:20" s="8" customFormat="1" ht="13.5" thickBot="1">
      <c r="A12" s="65"/>
      <c r="B12" s="17"/>
      <c r="C12" s="66"/>
      <c r="D12" s="17"/>
      <c r="E12" s="10"/>
      <c r="F12" s="10"/>
      <c r="G12" s="10"/>
      <c r="H12" s="10"/>
      <c r="Q12" s="4"/>
      <c r="R12" s="4"/>
      <c r="S12" s="131"/>
      <c r="T12" s="131"/>
    </row>
    <row r="13" spans="1:17" s="12" customFormat="1" ht="37.5" customHeight="1">
      <c r="A13" s="515"/>
      <c r="B13" s="413" t="s">
        <v>435</v>
      </c>
      <c r="C13" s="123" t="s">
        <v>268</v>
      </c>
      <c r="D13" s="413" t="s">
        <v>233</v>
      </c>
      <c r="E13" s="516" t="s">
        <v>240</v>
      </c>
      <c r="F13" s="517" t="s">
        <v>97</v>
      </c>
      <c r="H13" s="8"/>
      <c r="N13" s="128"/>
      <c r="O13" s="128"/>
      <c r="P13" s="129"/>
      <c r="Q13" s="129"/>
    </row>
    <row r="14" spans="1:17" s="29" customFormat="1" ht="25.5">
      <c r="A14" s="511" t="s">
        <v>430</v>
      </c>
      <c r="B14" s="512" t="str">
        <f>'Wksht 1. Data Inputs'!B15</f>
        <v>potential 2003 waste comp</v>
      </c>
      <c r="C14" s="512" t="str">
        <f>'Wksht 1. Data Inputs'!B15</f>
        <v>potential 2003 waste comp</v>
      </c>
      <c r="D14" s="512" t="str">
        <f>'Wksht 1. Data Inputs'!B15</f>
        <v>potential 2003 waste comp</v>
      </c>
      <c r="E14" s="513" t="str">
        <f>'Wksht 1. Data Inputs'!B15</f>
        <v>potential 2003 waste comp</v>
      </c>
      <c r="F14" s="514" t="str">
        <f>'Wksht 1. Data Inputs'!B15</f>
        <v>potential 2003 waste comp</v>
      </c>
      <c r="G14" s="422"/>
      <c r="H14" s="106"/>
      <c r="N14" s="119"/>
      <c r="O14" s="119"/>
      <c r="P14" s="120"/>
      <c r="Q14" s="120"/>
    </row>
    <row r="15" spans="1:17" s="8" customFormat="1" ht="12.75">
      <c r="A15" s="221" t="s">
        <v>373</v>
      </c>
      <c r="B15" s="42">
        <f>'Wksht 1. Data Inputs'!B17</f>
        <v>48844</v>
      </c>
      <c r="C15" s="42">
        <f>'Wksht 1. Data Inputs'!B57</f>
        <v>0</v>
      </c>
      <c r="D15" s="268"/>
      <c r="E15" s="214"/>
      <c r="F15" s="215"/>
      <c r="G15" s="113"/>
      <c r="H15" s="130"/>
      <c r="N15" s="4"/>
      <c r="O15" s="4"/>
      <c r="P15" s="131"/>
      <c r="Q15" s="131"/>
    </row>
    <row r="16" spans="1:17" s="8" customFormat="1" ht="12.75">
      <c r="A16" s="221" t="s">
        <v>374</v>
      </c>
      <c r="B16" s="42">
        <f>'Wksht 1. Data Inputs'!B18</f>
        <v>102532</v>
      </c>
      <c r="C16" s="42">
        <f>'Wksht 1. Data Inputs'!B58</f>
        <v>0</v>
      </c>
      <c r="D16" s="269"/>
      <c r="E16" s="264"/>
      <c r="F16" s="265"/>
      <c r="G16" s="113"/>
      <c r="H16" s="130"/>
      <c r="N16" s="4"/>
      <c r="O16" s="4"/>
      <c r="P16" s="131"/>
      <c r="Q16" s="131"/>
    </row>
    <row r="17" spans="1:17" s="8" customFormat="1" ht="12.75">
      <c r="A17" s="221" t="s">
        <v>375</v>
      </c>
      <c r="B17" s="42">
        <f>'Wksht 1. Data Inputs'!B19</f>
        <v>234629</v>
      </c>
      <c r="C17" s="42">
        <f>'Wksht 1. Data Inputs'!B59</f>
        <v>0</v>
      </c>
      <c r="D17" s="269"/>
      <c r="E17" s="264"/>
      <c r="F17" s="265"/>
      <c r="G17" s="114"/>
      <c r="H17" s="130"/>
      <c r="N17" s="4"/>
      <c r="O17" s="4"/>
      <c r="P17" s="131"/>
      <c r="Q17" s="131"/>
    </row>
    <row r="18" spans="1:17" s="8" customFormat="1" ht="12.75">
      <c r="A18" s="221" t="s">
        <v>376</v>
      </c>
      <c r="B18" s="111">
        <f>'Wksht 1. Data Inputs'!B20</f>
        <v>68082</v>
      </c>
      <c r="C18" s="42">
        <f>'Wksht 1. Data Inputs'!B60</f>
        <v>0</v>
      </c>
      <c r="D18" s="269"/>
      <c r="E18" s="264"/>
      <c r="F18" s="265"/>
      <c r="G18" s="113"/>
      <c r="H18" s="130"/>
      <c r="N18" s="4"/>
      <c r="O18" s="4"/>
      <c r="P18" s="131"/>
      <c r="Q18" s="131"/>
    </row>
    <row r="19" spans="1:17" s="8" customFormat="1" ht="12.75">
      <c r="A19" s="221" t="s">
        <v>377</v>
      </c>
      <c r="B19" s="42">
        <f>'Wksht 1. Data Inputs'!B21</f>
        <v>0</v>
      </c>
      <c r="C19" s="42">
        <f>'Wksht 1. Data Inputs'!B61</f>
        <v>0</v>
      </c>
      <c r="D19" s="269"/>
      <c r="E19" s="264"/>
      <c r="F19" s="265"/>
      <c r="G19" s="113"/>
      <c r="H19" s="130"/>
      <c r="N19" s="4"/>
      <c r="O19" s="4"/>
      <c r="P19" s="131"/>
      <c r="Q19" s="131"/>
    </row>
    <row r="20" spans="1:17" s="8" customFormat="1" ht="12.75">
      <c r="A20" s="221" t="s">
        <v>378</v>
      </c>
      <c r="B20" s="42">
        <f>'Wksht 1. Data Inputs'!B22</f>
        <v>87601</v>
      </c>
      <c r="C20" s="42">
        <f>'Wksht 1. Data Inputs'!B62</f>
        <v>0</v>
      </c>
      <c r="D20" s="132"/>
      <c r="E20" s="264"/>
      <c r="F20" s="265"/>
      <c r="G20" s="70"/>
      <c r="N20" s="4"/>
      <c r="O20" s="4"/>
      <c r="P20" s="131"/>
      <c r="Q20" s="131"/>
    </row>
    <row r="21" spans="1:17" s="12" customFormat="1" ht="12.75">
      <c r="A21" s="221" t="s">
        <v>372</v>
      </c>
      <c r="B21" s="42">
        <f>'Wksht 1. Data Inputs'!B23</f>
        <v>785032</v>
      </c>
      <c r="C21" s="42">
        <f>'Wksht 1. Data Inputs'!B63</f>
        <v>0</v>
      </c>
      <c r="D21" s="110"/>
      <c r="E21" s="270"/>
      <c r="F21" s="271"/>
      <c r="H21" s="8"/>
      <c r="N21" s="4"/>
      <c r="O21" s="4"/>
      <c r="P21" s="131"/>
      <c r="Q21" s="131"/>
    </row>
    <row r="22" spans="1:17" s="12" customFormat="1" ht="12.75">
      <c r="A22" s="221" t="s">
        <v>476</v>
      </c>
      <c r="B22" s="42">
        <f>'Wksht 1. Data Inputs'!B24</f>
        <v>251027</v>
      </c>
      <c r="C22" s="42">
        <f>'Wksht 1. Data Inputs'!B64</f>
        <v>0</v>
      </c>
      <c r="D22" s="110"/>
      <c r="E22" s="270"/>
      <c r="F22" s="271"/>
      <c r="H22" s="8"/>
      <c r="N22" s="4"/>
      <c r="O22" s="4"/>
      <c r="P22" s="131"/>
      <c r="Q22" s="131"/>
    </row>
    <row r="23" spans="1:17" s="12" customFormat="1" ht="12.75">
      <c r="A23" s="221" t="s">
        <v>370</v>
      </c>
      <c r="B23" s="42">
        <f>'Wksht 1. Data Inputs'!B25</f>
        <v>389263</v>
      </c>
      <c r="C23" s="42">
        <f>'Wksht 1. Data Inputs'!B65</f>
        <v>0</v>
      </c>
      <c r="D23" s="110"/>
      <c r="E23" s="270"/>
      <c r="F23" s="271"/>
      <c r="H23" s="8"/>
      <c r="N23" s="4"/>
      <c r="O23" s="4"/>
      <c r="P23" s="131"/>
      <c r="Q23" s="131"/>
    </row>
    <row r="24" spans="1:17" s="12" customFormat="1" ht="12.75">
      <c r="A24" s="221" t="s">
        <v>371</v>
      </c>
      <c r="B24" s="42">
        <f>'Wksht 1. Data Inputs'!B26</f>
        <v>341975</v>
      </c>
      <c r="C24" s="42">
        <f>'Wksht 1. Data Inputs'!B66</f>
        <v>0</v>
      </c>
      <c r="D24" s="110"/>
      <c r="E24" s="270"/>
      <c r="F24" s="271"/>
      <c r="H24" s="8"/>
      <c r="N24" s="4"/>
      <c r="O24" s="4"/>
      <c r="P24" s="131"/>
      <c r="Q24" s="131"/>
    </row>
    <row r="25" spans="1:17" s="12" customFormat="1" ht="12.75">
      <c r="A25" s="221" t="s">
        <v>477</v>
      </c>
      <c r="B25" s="42">
        <f>'Wksht 1. Data Inputs'!B27</f>
        <v>0</v>
      </c>
      <c r="C25" s="42">
        <f>'Wksht 1. Data Inputs'!B67</f>
        <v>0</v>
      </c>
      <c r="D25" s="110"/>
      <c r="E25" s="270"/>
      <c r="F25" s="271"/>
      <c r="H25" s="8"/>
      <c r="N25" s="4"/>
      <c r="O25" s="4"/>
      <c r="P25" s="131"/>
      <c r="Q25" s="131"/>
    </row>
    <row r="26" spans="1:17" s="12" customFormat="1" ht="12.75">
      <c r="A26" s="221" t="s">
        <v>478</v>
      </c>
      <c r="B26" s="42">
        <f>'Wksht 1. Data Inputs'!B28</f>
        <v>0</v>
      </c>
      <c r="C26" s="42">
        <f>'Wksht 1. Data Inputs'!B68</f>
        <v>0</v>
      </c>
      <c r="D26" s="110"/>
      <c r="E26" s="270"/>
      <c r="F26" s="271"/>
      <c r="H26" s="8"/>
      <c r="N26" s="4"/>
      <c r="O26" s="4"/>
      <c r="P26" s="131"/>
      <c r="Q26" s="131"/>
    </row>
    <row r="27" spans="1:17" s="8" customFormat="1" ht="12.75">
      <c r="A27" s="222" t="s">
        <v>149</v>
      </c>
      <c r="B27" s="112">
        <f>'Wksht 1. Data Inputs'!B30</f>
        <v>0</v>
      </c>
      <c r="C27" s="112">
        <f>'Wksht 1. Data Inputs'!B69</f>
        <v>0</v>
      </c>
      <c r="D27" s="132"/>
      <c r="E27" s="264"/>
      <c r="F27" s="265"/>
      <c r="G27" s="70"/>
      <c r="N27" s="4"/>
      <c r="O27" s="4"/>
      <c r="P27" s="131"/>
      <c r="Q27" s="131"/>
    </row>
    <row r="28" spans="1:15" s="8" customFormat="1" ht="12.75">
      <c r="A28" s="221" t="s">
        <v>379</v>
      </c>
      <c r="B28" s="42">
        <f>'Wksht 1. Data Inputs'!B31</f>
        <v>0</v>
      </c>
      <c r="C28" s="262"/>
      <c r="D28" s="264"/>
      <c r="E28" s="264"/>
      <c r="F28" s="265"/>
      <c r="G28" s="70"/>
      <c r="N28" s="4"/>
      <c r="O28" s="70"/>
    </row>
    <row r="29" spans="1:15" s="8" customFormat="1" ht="15" customHeight="1">
      <c r="A29" s="221" t="s">
        <v>380</v>
      </c>
      <c r="B29" s="42">
        <f>'Wksht 1. Data Inputs'!B32</f>
        <v>0</v>
      </c>
      <c r="C29" s="96"/>
      <c r="D29" s="263"/>
      <c r="E29" s="264"/>
      <c r="F29" s="265"/>
      <c r="G29" s="70"/>
      <c r="N29" s="4"/>
      <c r="O29" s="70"/>
    </row>
    <row r="30" spans="1:15" s="8" customFormat="1" ht="12.75" customHeight="1">
      <c r="A30" s="221" t="s">
        <v>408</v>
      </c>
      <c r="B30" s="42">
        <f>'Wksht 1. Data Inputs'!B33</f>
        <v>0</v>
      </c>
      <c r="C30" s="96"/>
      <c r="D30" s="263"/>
      <c r="E30" s="264"/>
      <c r="F30" s="265"/>
      <c r="G30" s="70"/>
      <c r="N30" s="4"/>
      <c r="O30" s="70"/>
    </row>
    <row r="31" spans="1:15" s="8" customFormat="1" ht="12.75" customHeight="1">
      <c r="A31" s="221" t="s">
        <v>409</v>
      </c>
      <c r="B31" s="42">
        <f>'Wksht 1. Data Inputs'!B34</f>
        <v>0</v>
      </c>
      <c r="C31" s="96"/>
      <c r="D31" s="263"/>
      <c r="E31" s="264"/>
      <c r="F31" s="265"/>
      <c r="G31" s="70"/>
      <c r="N31" s="4"/>
      <c r="O31" s="70"/>
    </row>
    <row r="32" spans="1:15" s="8" customFormat="1" ht="12.75" customHeight="1">
      <c r="A32" s="221" t="s">
        <v>410</v>
      </c>
      <c r="B32" s="42">
        <f>'Wksht 1. Data Inputs'!B35</f>
        <v>0</v>
      </c>
      <c r="C32" s="96"/>
      <c r="D32" s="263"/>
      <c r="E32" s="264"/>
      <c r="F32" s="265"/>
      <c r="G32" s="70"/>
      <c r="N32" s="4"/>
      <c r="O32" s="70"/>
    </row>
    <row r="33" spans="1:17" s="8" customFormat="1" ht="12.75">
      <c r="A33" s="221" t="s">
        <v>88</v>
      </c>
      <c r="B33" s="42">
        <f>'Wksht 1. Data Inputs'!B36</f>
        <v>282131</v>
      </c>
      <c r="C33" s="42">
        <f>'Wksht 1. Data Inputs'!B70</f>
        <v>0</v>
      </c>
      <c r="D33" s="269"/>
      <c r="E33" s="264"/>
      <c r="F33" s="265"/>
      <c r="G33" s="113"/>
      <c r="H33" s="130"/>
      <c r="N33" s="4"/>
      <c r="O33" s="4"/>
      <c r="P33" s="131"/>
      <c r="Q33" s="131"/>
    </row>
    <row r="34" spans="1:15" s="8" customFormat="1" ht="12.75" customHeight="1">
      <c r="A34" s="221" t="s">
        <v>322</v>
      </c>
      <c r="B34" s="42">
        <f>'Wksht 1. Data Inputs'!B37</f>
        <v>43057</v>
      </c>
      <c r="C34" s="42">
        <f>'Wksht 1. Data Inputs'!B71</f>
        <v>0</v>
      </c>
      <c r="D34" s="263"/>
      <c r="E34" s="264"/>
      <c r="F34" s="265"/>
      <c r="G34" s="70"/>
      <c r="N34" s="4"/>
      <c r="O34" s="70"/>
    </row>
    <row r="35" spans="1:17" s="8" customFormat="1" ht="12.75">
      <c r="A35" s="221" t="s">
        <v>321</v>
      </c>
      <c r="B35" s="42">
        <f>'Wksht 1. Data Inputs'!B38</f>
        <v>0</v>
      </c>
      <c r="C35" s="42">
        <f>'Wksht 1. Data Inputs'!B72</f>
        <v>0</v>
      </c>
      <c r="D35" s="269"/>
      <c r="E35" s="264"/>
      <c r="F35" s="265"/>
      <c r="G35" s="430"/>
      <c r="H35" s="130"/>
      <c r="N35" s="4"/>
      <c r="O35" s="4"/>
      <c r="P35" s="131"/>
      <c r="Q35" s="131"/>
    </row>
    <row r="36" spans="1:6" ht="12.75">
      <c r="A36" s="436" t="s">
        <v>323</v>
      </c>
      <c r="B36" s="42">
        <f>'Wksht 1. Data Inputs'!B39</f>
        <v>0</v>
      </c>
      <c r="C36" s="42">
        <f>'Wksht 1. Data Inputs'!B74</f>
        <v>0</v>
      </c>
      <c r="D36" s="269"/>
      <c r="E36" s="264"/>
      <c r="F36" s="265"/>
    </row>
    <row r="37" spans="1:15" s="8" customFormat="1" ht="12.75" customHeight="1">
      <c r="A37" s="221" t="s">
        <v>86</v>
      </c>
      <c r="B37" s="42">
        <f>'Wksht 1. Data Inputs'!B40</f>
        <v>0</v>
      </c>
      <c r="C37" s="42">
        <f>'Wksht 1. Data Inputs'!B75</f>
        <v>0</v>
      </c>
      <c r="D37" s="267"/>
      <c r="E37" s="264"/>
      <c r="F37" s="265"/>
      <c r="G37" s="70"/>
      <c r="N37" s="4"/>
      <c r="O37" s="70"/>
    </row>
    <row r="38" spans="1:15" s="8" customFormat="1" ht="12.75" customHeight="1">
      <c r="A38" s="222" t="s">
        <v>393</v>
      </c>
      <c r="B38" s="112">
        <f>'Wksht 1. Data Inputs'!B41</f>
        <v>0</v>
      </c>
      <c r="C38" s="112">
        <f>'Wksht 1. Data Inputs'!B76</f>
        <v>0</v>
      </c>
      <c r="D38" s="267"/>
      <c r="E38" s="264"/>
      <c r="F38" s="265"/>
      <c r="G38" s="70"/>
      <c r="N38" s="4"/>
      <c r="O38" s="70"/>
    </row>
    <row r="39" spans="1:17" s="12" customFormat="1" ht="12.75">
      <c r="A39" s="221" t="s">
        <v>407</v>
      </c>
      <c r="B39" s="42">
        <f>'Wksht 1. Data Inputs'!B42</f>
        <v>0</v>
      </c>
      <c r="C39" s="42">
        <f>'Wksht 1. Data Inputs'!B77</f>
        <v>0</v>
      </c>
      <c r="D39" s="110"/>
      <c r="E39" s="270"/>
      <c r="F39" s="271"/>
      <c r="H39" s="8"/>
      <c r="N39" s="4"/>
      <c r="O39" s="4"/>
      <c r="P39" s="131"/>
      <c r="Q39" s="131"/>
    </row>
    <row r="40" spans="1:17" s="12" customFormat="1" ht="12.75">
      <c r="A40" s="221" t="s">
        <v>68</v>
      </c>
      <c r="B40" s="42">
        <f>'Wksht 1. Data Inputs'!B43</f>
        <v>0</v>
      </c>
      <c r="C40" s="42">
        <f>'Wksht 1. Data Inputs'!B78</f>
        <v>0</v>
      </c>
      <c r="D40" s="110"/>
      <c r="E40" s="270"/>
      <c r="F40" s="271"/>
      <c r="H40" s="8"/>
      <c r="N40" s="4"/>
      <c r="O40" s="4"/>
      <c r="P40" s="131"/>
      <c r="Q40" s="131"/>
    </row>
    <row r="41" spans="1:15" s="8" customFormat="1" ht="12.75" customHeight="1">
      <c r="A41" s="222" t="s">
        <v>144</v>
      </c>
      <c r="B41" s="112">
        <f>'Wksht 1. Data Inputs'!B44</f>
        <v>0</v>
      </c>
      <c r="C41" s="112">
        <f>'Wksht 1. Data Inputs'!B79</f>
        <v>0</v>
      </c>
      <c r="D41" s="267"/>
      <c r="E41" s="264"/>
      <c r="F41" s="265"/>
      <c r="G41" s="70"/>
      <c r="N41" s="4"/>
      <c r="O41" s="70"/>
    </row>
    <row r="42" spans="1:15" s="8" customFormat="1" ht="12.75" customHeight="1">
      <c r="A42" s="222" t="s">
        <v>145</v>
      </c>
      <c r="B42" s="112">
        <f>'Wksht 1. Data Inputs'!B45</f>
        <v>0</v>
      </c>
      <c r="C42" s="112">
        <f>'Wksht 1. Data Inputs'!B80</f>
        <v>0</v>
      </c>
      <c r="D42" s="267"/>
      <c r="E42" s="264"/>
      <c r="F42" s="265"/>
      <c r="G42" s="70"/>
      <c r="N42" s="4"/>
      <c r="O42" s="70"/>
    </row>
    <row r="43" spans="1:15" s="8" customFormat="1" ht="14.25" customHeight="1">
      <c r="A43" s="222" t="s">
        <v>146</v>
      </c>
      <c r="B43" s="42">
        <f>'Wksht 1. Data Inputs'!B46</f>
        <v>0</v>
      </c>
      <c r="C43" s="42">
        <f>'Wksht 1. Data Inputs'!B81</f>
        <v>0</v>
      </c>
      <c r="D43" s="267"/>
      <c r="E43" s="264"/>
      <c r="F43" s="265"/>
      <c r="G43" s="70"/>
      <c r="N43" s="4"/>
      <c r="O43" s="70"/>
    </row>
    <row r="44" spans="1:17" s="8" customFormat="1" ht="12.75">
      <c r="A44" s="221" t="s">
        <v>85</v>
      </c>
      <c r="B44" s="42">
        <f>'Wksht 1. Data Inputs'!B47</f>
        <v>433821</v>
      </c>
      <c r="C44" s="42">
        <f>'Wksht 1. Data Inputs'!B82</f>
        <v>0</v>
      </c>
      <c r="D44" s="132"/>
      <c r="E44" s="264"/>
      <c r="F44" s="265"/>
      <c r="G44" s="70"/>
      <c r="N44" s="4"/>
      <c r="O44" s="4"/>
      <c r="P44" s="131"/>
      <c r="Q44" s="131"/>
    </row>
    <row r="45" spans="1:17" s="8" customFormat="1" ht="12.75">
      <c r="A45" s="221" t="s">
        <v>479</v>
      </c>
      <c r="B45" s="42">
        <f>'Wksht 1. Data Inputs'!B48</f>
        <v>32138</v>
      </c>
      <c r="C45" s="42">
        <f>'Wksht 1. Data Inputs'!B83</f>
        <v>0</v>
      </c>
      <c r="D45" s="132"/>
      <c r="E45" s="264"/>
      <c r="F45" s="265"/>
      <c r="G45" s="70"/>
      <c r="N45" s="4"/>
      <c r="O45" s="4"/>
      <c r="P45" s="131"/>
      <c r="Q45" s="131"/>
    </row>
    <row r="46" spans="1:17" s="8" customFormat="1" ht="12.75">
      <c r="A46" s="221" t="s">
        <v>480</v>
      </c>
      <c r="B46" s="42">
        <f>'Wksht 1. Data Inputs'!B49</f>
        <v>906653</v>
      </c>
      <c r="C46" s="42">
        <f>'Wksht 1. Data Inputs'!B84</f>
        <v>0</v>
      </c>
      <c r="D46" s="132"/>
      <c r="E46" s="264"/>
      <c r="F46" s="265"/>
      <c r="G46" s="70"/>
      <c r="N46" s="4"/>
      <c r="O46" s="4"/>
      <c r="P46" s="131"/>
      <c r="Q46" s="131"/>
    </row>
    <row r="47" spans="1:17" s="8" customFormat="1" ht="12.75">
      <c r="A47" s="221" t="s">
        <v>389</v>
      </c>
      <c r="B47" s="42">
        <f>'Wksht 1. Data Inputs'!B51</f>
        <v>0</v>
      </c>
      <c r="C47" s="42">
        <f>'Wksht 1. Data Inputs'!B85</f>
        <v>0</v>
      </c>
      <c r="D47" s="132"/>
      <c r="E47" s="264"/>
      <c r="F47" s="265"/>
      <c r="G47" s="70"/>
      <c r="N47" s="4"/>
      <c r="O47" s="4"/>
      <c r="P47" s="131"/>
      <c r="Q47" s="131"/>
    </row>
    <row r="48" spans="1:15" s="8" customFormat="1" ht="12.75" customHeight="1">
      <c r="A48" s="221" t="s">
        <v>481</v>
      </c>
      <c r="B48" s="42">
        <f>'Wksht 1. Data Inputs'!B52</f>
        <v>0</v>
      </c>
      <c r="C48" s="266"/>
      <c r="D48" s="263"/>
      <c r="E48" s="264"/>
      <c r="F48" s="265"/>
      <c r="G48" s="70"/>
      <c r="N48" s="4"/>
      <c r="O48" s="70"/>
    </row>
    <row r="49" spans="1:15" s="8" customFormat="1" ht="12.75" customHeight="1" thickBot="1">
      <c r="A49" s="222" t="s">
        <v>87</v>
      </c>
      <c r="B49" s="112">
        <f>'Wksht 1. Data Inputs'!B53</f>
        <v>0</v>
      </c>
      <c r="C49" s="112">
        <f>'Wksht 1. Data Inputs'!B86</f>
        <v>0</v>
      </c>
      <c r="D49" s="267"/>
      <c r="E49" s="264"/>
      <c r="F49" s="265"/>
      <c r="G49" s="70"/>
      <c r="N49" s="4"/>
      <c r="O49" s="70"/>
    </row>
    <row r="50" spans="1:7" s="8" customFormat="1" ht="13.5" thickBot="1">
      <c r="A50" s="223" t="s">
        <v>398</v>
      </c>
      <c r="B50" s="49">
        <f>SUM(B15:B49)</f>
        <v>4006785</v>
      </c>
      <c r="C50" s="49">
        <f>SUM(C15:C49)</f>
        <v>0</v>
      </c>
      <c r="D50" s="49">
        <f>'Wksht 1. Data Inputs'!B90</f>
        <v>0</v>
      </c>
      <c r="E50" s="49">
        <f>'Wksht 1. Data Inputs'!B91</f>
        <v>0</v>
      </c>
      <c r="F50" s="46">
        <f>'Wksht 1. Data Inputs'!B92</f>
        <v>0</v>
      </c>
      <c r="G50" s="70"/>
    </row>
    <row r="51" spans="1:5" s="8" customFormat="1" ht="13.5" thickBot="1">
      <c r="A51" s="217"/>
      <c r="B51" s="6"/>
      <c r="C51" s="6"/>
      <c r="D51" s="6"/>
      <c r="E51" s="6"/>
    </row>
    <row r="52" spans="1:6" s="1" customFormat="1" ht="12.75">
      <c r="A52" s="38" t="s">
        <v>235</v>
      </c>
      <c r="B52" s="118">
        <f>'Wksht 4. Calculations'!B9/'Wksht 4. Calculations'!B12</f>
        <v>1</v>
      </c>
      <c r="C52" s="420">
        <f>C50/(C50+'Wksht 4. Calculations'!B12)</f>
        <v>0</v>
      </c>
      <c r="D52" s="118">
        <f>'Wksht 4. Calculations'!B10/'Wksht 4. Calculations'!B12</f>
        <v>0</v>
      </c>
      <c r="E52" s="118">
        <f>'Wksht 4. Calculations'!B11/'Wksht 4. Calculations'!B12</f>
        <v>0</v>
      </c>
      <c r="F52" s="258"/>
    </row>
    <row r="53" spans="1:6" s="1" customFormat="1" ht="13.5" thickBot="1">
      <c r="A53" s="225" t="s">
        <v>234</v>
      </c>
      <c r="B53" s="260"/>
      <c r="C53" s="261"/>
      <c r="D53" s="421" t="e">
        <f>D50/F50</f>
        <v>#DIV/0!</v>
      </c>
      <c r="E53" s="421" t="e">
        <f>E50/F50</f>
        <v>#DIV/0!</v>
      </c>
      <c r="F53" s="259"/>
    </row>
    <row r="54" spans="1:8" s="1" customFormat="1" ht="12.75">
      <c r="A54" s="217"/>
      <c r="G54" s="6"/>
      <c r="H54" s="6"/>
    </row>
    <row r="55" spans="1:8" s="1" customFormat="1" ht="12.75">
      <c r="A55" s="217" t="s">
        <v>369</v>
      </c>
      <c r="G55" s="6"/>
      <c r="H55" s="6"/>
    </row>
    <row r="56" spans="1:8" s="1" customFormat="1" ht="12.75">
      <c r="A56" s="19" t="str">
        <f>'Wksht 1. Data Inputs'!B14</f>
        <v>PA Department of Environmental Protection</v>
      </c>
      <c r="G56" s="6"/>
      <c r="H56" s="6"/>
    </row>
    <row r="57" spans="1:8" s="1" customFormat="1" ht="18">
      <c r="A57" s="16" t="s">
        <v>18</v>
      </c>
      <c r="B57" s="19"/>
      <c r="G57" s="6"/>
      <c r="H57" s="6"/>
    </row>
    <row r="58" spans="1:8" s="1" customFormat="1" ht="12.75">
      <c r="A58" s="226"/>
      <c r="B58" s="19"/>
      <c r="G58" s="6"/>
      <c r="H58" s="6"/>
    </row>
    <row r="59" spans="1:8" s="1" customFormat="1" ht="12.75">
      <c r="A59" s="226"/>
      <c r="B59" s="19"/>
      <c r="G59" s="6"/>
      <c r="H59" s="6"/>
    </row>
    <row r="60" spans="1:8" s="1" customFormat="1" ht="12.75">
      <c r="A60" s="226"/>
      <c r="B60" s="19"/>
      <c r="G60" s="6"/>
      <c r="H60" s="6"/>
    </row>
    <row r="61" spans="1:8" s="1" customFormat="1" ht="12.75">
      <c r="A61" s="226"/>
      <c r="B61" s="19"/>
      <c r="G61" s="6"/>
      <c r="H61" s="6"/>
    </row>
    <row r="62" spans="1:8" s="1" customFormat="1" ht="12.75">
      <c r="A62" s="226"/>
      <c r="B62" s="19"/>
      <c r="G62" s="6"/>
      <c r="H62" s="6"/>
    </row>
    <row r="63" spans="1:8" s="1" customFormat="1" ht="12.75">
      <c r="A63" s="226"/>
      <c r="B63" s="19"/>
      <c r="G63" s="6"/>
      <c r="H63" s="6"/>
    </row>
    <row r="64" spans="1:8" s="1" customFormat="1" ht="12.75">
      <c r="A64" s="226"/>
      <c r="B64" s="19"/>
      <c r="G64" s="6"/>
      <c r="H64" s="6"/>
    </row>
    <row r="65" spans="1:8" s="1" customFormat="1" ht="12.75">
      <c r="A65" s="226"/>
      <c r="B65" s="19"/>
      <c r="G65" s="6"/>
      <c r="H65" s="6"/>
    </row>
    <row r="66" spans="1:8" s="1" customFormat="1" ht="12.75">
      <c r="A66" s="226"/>
      <c r="B66" s="19"/>
      <c r="G66" s="6"/>
      <c r="H66" s="6"/>
    </row>
    <row r="67" spans="1:8" s="1" customFormat="1" ht="12.75">
      <c r="A67" s="226"/>
      <c r="B67" s="19"/>
      <c r="G67" s="6"/>
      <c r="H67" s="6"/>
    </row>
    <row r="68" spans="1:8" s="1" customFormat="1" ht="12.75">
      <c r="A68" s="226"/>
      <c r="B68" s="19"/>
      <c r="G68" s="6"/>
      <c r="H68" s="6"/>
    </row>
    <row r="69" spans="1:8" s="1" customFormat="1" ht="12.75">
      <c r="A69" s="226"/>
      <c r="B69" s="19"/>
      <c r="G69" s="6"/>
      <c r="H69" s="6"/>
    </row>
    <row r="70" spans="1:8" s="1" customFormat="1" ht="12.75">
      <c r="A70" s="226"/>
      <c r="B70" s="19"/>
      <c r="G70" s="6"/>
      <c r="H70" s="6"/>
    </row>
    <row r="71" spans="1:8" s="1" customFormat="1" ht="12.75">
      <c r="A71" s="226"/>
      <c r="B71" s="19"/>
      <c r="G71" s="6"/>
      <c r="H71" s="6"/>
    </row>
    <row r="72" spans="1:8" s="1" customFormat="1" ht="12.75">
      <c r="A72" s="226"/>
      <c r="B72" s="19"/>
      <c r="G72" s="6"/>
      <c r="H72" s="6"/>
    </row>
    <row r="73" spans="1:8" s="1" customFormat="1" ht="12.75">
      <c r="A73" s="226"/>
      <c r="B73" s="19"/>
      <c r="G73" s="6"/>
      <c r="H73" s="6"/>
    </row>
    <row r="74" spans="1:8" s="1" customFormat="1" ht="12.75">
      <c r="A74" s="226"/>
      <c r="B74" s="19"/>
      <c r="G74" s="6"/>
      <c r="H74" s="6"/>
    </row>
    <row r="75" spans="1:8" s="1" customFormat="1" ht="12.75">
      <c r="A75" s="226"/>
      <c r="B75" s="19"/>
      <c r="G75" s="6"/>
      <c r="H75" s="6"/>
    </row>
    <row r="76" spans="1:8" s="1" customFormat="1" ht="12.75">
      <c r="A76" s="226"/>
      <c r="B76" s="19"/>
      <c r="G76" s="6"/>
      <c r="H76" s="6"/>
    </row>
    <row r="77" spans="1:8" s="1" customFormat="1" ht="12.75">
      <c r="A77" s="226"/>
      <c r="B77" s="19"/>
      <c r="G77" s="6"/>
      <c r="H77" s="6"/>
    </row>
    <row r="78" spans="1:8" s="1" customFormat="1" ht="12.75">
      <c r="A78" s="226"/>
      <c r="B78" s="19"/>
      <c r="G78" s="6"/>
      <c r="H78" s="6"/>
    </row>
    <row r="79" spans="1:8" s="1" customFormat="1" ht="12.75">
      <c r="A79" s="226"/>
      <c r="B79" s="19"/>
      <c r="G79" s="6"/>
      <c r="H79" s="6"/>
    </row>
    <row r="80" spans="1:8" s="1" customFormat="1" ht="12.75">
      <c r="A80" s="226"/>
      <c r="B80" s="19"/>
      <c r="G80" s="6"/>
      <c r="H80" s="6"/>
    </row>
    <row r="81" spans="1:8" s="1" customFormat="1" ht="12.75">
      <c r="A81" s="226"/>
      <c r="B81" s="19"/>
      <c r="G81" s="6"/>
      <c r="H81" s="6"/>
    </row>
    <row r="82" spans="1:8" s="1" customFormat="1" ht="12.75">
      <c r="A82" s="226"/>
      <c r="B82" s="19"/>
      <c r="G82" s="6"/>
      <c r="H82" s="6"/>
    </row>
    <row r="83" spans="1:8" s="1" customFormat="1" ht="12.75">
      <c r="A83" s="226"/>
      <c r="B83" s="19"/>
      <c r="G83" s="6"/>
      <c r="H83" s="6"/>
    </row>
    <row r="84" spans="1:8" s="1" customFormat="1" ht="12.75">
      <c r="A84" s="226"/>
      <c r="B84" s="19"/>
      <c r="G84" s="6"/>
      <c r="H84" s="6"/>
    </row>
    <row r="85" spans="1:8" s="1" customFormat="1" ht="12.75">
      <c r="A85" s="226"/>
      <c r="B85" s="19"/>
      <c r="G85" s="6"/>
      <c r="H85" s="6"/>
    </row>
    <row r="86" spans="1:8" s="1" customFormat="1" ht="12.75">
      <c r="A86" s="226"/>
      <c r="B86" s="19"/>
      <c r="G86" s="6"/>
      <c r="H86" s="6"/>
    </row>
    <row r="87" spans="1:8" s="1" customFormat="1" ht="12.75">
      <c r="A87" s="226"/>
      <c r="B87" s="19"/>
      <c r="G87" s="6"/>
      <c r="H87" s="6"/>
    </row>
    <row r="88" spans="1:8" s="1" customFormat="1" ht="12.75">
      <c r="A88" s="226"/>
      <c r="B88" s="19"/>
      <c r="G88" s="6"/>
      <c r="H88" s="6"/>
    </row>
    <row r="89" spans="1:8" s="1" customFormat="1" ht="12.75">
      <c r="A89" s="226"/>
      <c r="B89" s="19"/>
      <c r="G89" s="6"/>
      <c r="H89" s="6"/>
    </row>
    <row r="90" spans="1:8" s="1" customFormat="1" ht="12.75">
      <c r="A90" s="226"/>
      <c r="B90" s="19"/>
      <c r="G90" s="6"/>
      <c r="H90" s="6"/>
    </row>
    <row r="91" spans="1:8" s="1" customFormat="1" ht="12.75">
      <c r="A91" s="226"/>
      <c r="B91" s="19"/>
      <c r="G91" s="6"/>
      <c r="H91" s="6"/>
    </row>
    <row r="92" spans="1:8" s="1" customFormat="1" ht="12.75">
      <c r="A92" s="226"/>
      <c r="B92" s="19"/>
      <c r="G92" s="6"/>
      <c r="H92" s="6"/>
    </row>
    <row r="93" spans="1:8" s="1" customFormat="1" ht="12.75">
      <c r="A93" s="226"/>
      <c r="B93" s="19"/>
      <c r="G93" s="6"/>
      <c r="H93" s="6"/>
    </row>
    <row r="94" spans="1:8" s="1" customFormat="1" ht="12.75">
      <c r="A94" s="226"/>
      <c r="B94" s="19"/>
      <c r="G94" s="6"/>
      <c r="H94" s="6"/>
    </row>
    <row r="95" spans="1:8" s="1" customFormat="1" ht="12.75">
      <c r="A95" s="226"/>
      <c r="B95" s="19"/>
      <c r="G95" s="6"/>
      <c r="H95" s="6"/>
    </row>
    <row r="96" spans="1:8" s="1" customFormat="1" ht="12.75">
      <c r="A96" s="226"/>
      <c r="B96" s="19"/>
      <c r="G96" s="6"/>
      <c r="H96" s="6"/>
    </row>
    <row r="97" spans="1:8" s="1" customFormat="1" ht="12.75">
      <c r="A97" s="226"/>
      <c r="B97" s="19"/>
      <c r="G97" s="6"/>
      <c r="H97" s="6"/>
    </row>
    <row r="98" spans="1:8" s="1" customFormat="1" ht="12.75">
      <c r="A98" s="226"/>
      <c r="B98" s="19"/>
      <c r="G98" s="6"/>
      <c r="H98" s="6"/>
    </row>
    <row r="99" spans="1:8" s="1" customFormat="1" ht="12.75">
      <c r="A99" s="226"/>
      <c r="B99" s="19"/>
      <c r="G99" s="6"/>
      <c r="H99" s="6"/>
    </row>
    <row r="100" spans="1:8" s="1" customFormat="1" ht="12.75">
      <c r="A100" s="226"/>
      <c r="B100" s="19"/>
      <c r="G100" s="6"/>
      <c r="H100" s="6"/>
    </row>
    <row r="101" spans="1:8" s="1" customFormat="1" ht="12.75">
      <c r="A101" s="226"/>
      <c r="B101" s="19"/>
      <c r="G101" s="6"/>
      <c r="H101" s="6"/>
    </row>
    <row r="102" spans="1:8" s="1" customFormat="1" ht="12.75">
      <c r="A102" s="226"/>
      <c r="B102" s="19"/>
      <c r="G102" s="6"/>
      <c r="H102" s="6"/>
    </row>
    <row r="103" spans="1:8" s="1" customFormat="1" ht="12.75">
      <c r="A103" s="226"/>
      <c r="B103" s="19"/>
      <c r="G103" s="6"/>
      <c r="H103" s="6"/>
    </row>
    <row r="104" spans="1:8" s="1" customFormat="1" ht="12.75">
      <c r="A104" s="226"/>
      <c r="B104" s="19"/>
      <c r="G104" s="6"/>
      <c r="H104" s="6"/>
    </row>
    <row r="105" spans="1:8" s="1" customFormat="1" ht="12.75">
      <c r="A105" s="226"/>
      <c r="B105" s="19"/>
      <c r="G105" s="6"/>
      <c r="H105" s="6"/>
    </row>
    <row r="106" spans="1:8" s="1" customFormat="1" ht="12.75">
      <c r="A106" s="226"/>
      <c r="B106" s="19"/>
      <c r="G106" s="6"/>
      <c r="H106" s="6"/>
    </row>
    <row r="107" spans="1:8" s="1" customFormat="1" ht="12.75">
      <c r="A107" s="226"/>
      <c r="B107" s="19"/>
      <c r="G107" s="6"/>
      <c r="H107" s="6"/>
    </row>
    <row r="108" spans="1:8" s="1" customFormat="1" ht="12.75">
      <c r="A108" s="226"/>
      <c r="B108" s="19"/>
      <c r="G108" s="6"/>
      <c r="H108" s="6"/>
    </row>
    <row r="109" spans="1:8" s="1" customFormat="1" ht="12.75">
      <c r="A109" s="226"/>
      <c r="B109" s="19"/>
      <c r="G109" s="6"/>
      <c r="H109" s="6"/>
    </row>
    <row r="110" spans="1:8" s="1" customFormat="1" ht="12.75">
      <c r="A110" s="226"/>
      <c r="B110" s="19"/>
      <c r="G110" s="6"/>
      <c r="H110" s="6"/>
    </row>
    <row r="111" spans="1:8" s="8" customFormat="1" ht="18">
      <c r="A111" s="16" t="s">
        <v>259</v>
      </c>
      <c r="E111" s="10"/>
      <c r="F111" s="10"/>
      <c r="G111" s="10"/>
      <c r="H111" s="10"/>
    </row>
    <row r="112" s="116" customFormat="1" ht="13.5" thickBot="1">
      <c r="A112" s="531"/>
    </row>
    <row r="113" spans="1:8" s="120" customFormat="1" ht="66" customHeight="1">
      <c r="A113" s="249"/>
      <c r="B113" s="123" t="s">
        <v>268</v>
      </c>
      <c r="C113" s="615" t="s">
        <v>25</v>
      </c>
      <c r="D113" s="615" t="s">
        <v>272</v>
      </c>
      <c r="E113" s="619" t="s">
        <v>255</v>
      </c>
      <c r="F113" s="119"/>
      <c r="G113" s="119"/>
      <c r="H113" s="119"/>
    </row>
    <row r="114" spans="1:8" s="33" customFormat="1" ht="12.75">
      <c r="A114" s="250" t="s">
        <v>430</v>
      </c>
      <c r="B114" s="54" t="str">
        <f>'Wksht 1. Data Inputs'!B15</f>
        <v>potential 2003 waste comp</v>
      </c>
      <c r="C114" s="616"/>
      <c r="D114" s="616"/>
      <c r="E114" s="620"/>
      <c r="F114" s="30"/>
      <c r="G114" s="30"/>
      <c r="H114" s="30"/>
    </row>
    <row r="115" spans="1:8" s="33" customFormat="1" ht="12.75">
      <c r="A115" s="221" t="s">
        <v>373</v>
      </c>
      <c r="B115" s="42">
        <f aca="true" t="shared" si="0" ref="B115:B127">C15</f>
        <v>0</v>
      </c>
      <c r="C115" s="115">
        <f>B115*VLOOKUP(A115,'Wksht 3. Conversion Factors'!$A$12:$F$46,2,FALSE)</f>
        <v>0</v>
      </c>
      <c r="D115" s="115" t="e">
        <f>B115*((VLOOKUP(A115,'Wksht 3. Conversion Factors'!$A$12:$F$46,5,FALSE)*'Wksht 4. Calculations'!$B$15)+(VLOOKUP(A115,'Wksht 3. Conversion Factors'!$A$12:$F$46,6,FALSE)*'Wksht 4. Calculations'!$B$16))</f>
        <v>#DIV/0!</v>
      </c>
      <c r="E115" s="44" t="e">
        <f>C115-D115</f>
        <v>#DIV/0!</v>
      </c>
      <c r="F115" s="21"/>
      <c r="G115" s="21"/>
      <c r="H115" s="21"/>
    </row>
    <row r="116" spans="1:8" s="33" customFormat="1" ht="12.75">
      <c r="A116" s="221" t="s">
        <v>374</v>
      </c>
      <c r="B116" s="42">
        <f t="shared" si="0"/>
        <v>0</v>
      </c>
      <c r="C116" s="115">
        <f>B116*VLOOKUP(A116,'Wksht 3. Conversion Factors'!$A$12:$F$46,2,FALSE)</f>
        <v>0</v>
      </c>
      <c r="D116" s="115" t="e">
        <f>B116*((VLOOKUP(A116,'Wksht 3. Conversion Factors'!$A$12:$F$46,5,FALSE)*'Wksht 4. Calculations'!$B$15)+(VLOOKUP(A116,'Wksht 3. Conversion Factors'!$A$12:$F$46,6,FALSE)*'Wksht 4. Calculations'!$B$16))</f>
        <v>#DIV/0!</v>
      </c>
      <c r="E116" s="44" t="e">
        <f>C116-D116</f>
        <v>#DIV/0!</v>
      </c>
      <c r="F116" s="30"/>
      <c r="G116" s="30"/>
      <c r="H116" s="30"/>
    </row>
    <row r="117" spans="1:8" s="33" customFormat="1" ht="12.75">
      <c r="A117" s="221" t="s">
        <v>375</v>
      </c>
      <c r="B117" s="42">
        <f t="shared" si="0"/>
        <v>0</v>
      </c>
      <c r="C117" s="115">
        <f>B117*VLOOKUP(A117,'Wksht 3. Conversion Factors'!$A$12:$F$46,2,FALSE)</f>
        <v>0</v>
      </c>
      <c r="D117" s="115" t="e">
        <f>B117*((VLOOKUP(A117,'Wksht 3. Conversion Factors'!$A$12:$F$46,5,FALSE)*'Wksht 4. Calculations'!$B$15)+(VLOOKUP(A117,'Wksht 3. Conversion Factors'!$A$12:$F$46,6,FALSE)*'Wksht 4. Calculations'!$B$16))</f>
        <v>#DIV/0!</v>
      </c>
      <c r="E117" s="44" t="e">
        <f aca="true" t="shared" si="1" ref="E117:E126">C117-D117</f>
        <v>#DIV/0!</v>
      </c>
      <c r="F117" s="30"/>
      <c r="G117" s="30"/>
      <c r="H117" s="30"/>
    </row>
    <row r="118" spans="1:8" s="33" customFormat="1" ht="12.75">
      <c r="A118" s="221" t="s">
        <v>376</v>
      </c>
      <c r="B118" s="42">
        <f t="shared" si="0"/>
        <v>0</v>
      </c>
      <c r="C118" s="115">
        <f>B118*VLOOKUP(A118,'Wksht 3. Conversion Factors'!$A$12:$F$46,2,FALSE)</f>
        <v>0</v>
      </c>
      <c r="D118" s="115" t="e">
        <f>B118*((VLOOKUP(A118,'Wksht 3. Conversion Factors'!$A$12:$F$46,5,FALSE)*'Wksht 4. Calculations'!$B$15)+(VLOOKUP(A118,'Wksht 3. Conversion Factors'!$A$12:$F$46,6,FALSE)*'Wksht 4. Calculations'!$B$16))</f>
        <v>#DIV/0!</v>
      </c>
      <c r="E118" s="44" t="e">
        <f t="shared" si="1"/>
        <v>#DIV/0!</v>
      </c>
      <c r="F118" s="30"/>
      <c r="G118" s="30"/>
      <c r="H118" s="30"/>
    </row>
    <row r="119" spans="1:8" s="33" customFormat="1" ht="12.75">
      <c r="A119" s="221" t="s">
        <v>377</v>
      </c>
      <c r="B119" s="42">
        <f t="shared" si="0"/>
        <v>0</v>
      </c>
      <c r="C119" s="115">
        <f>B119*VLOOKUP(A119,'Wksht 3. Conversion Factors'!$A$12:$F$46,2,FALSE)</f>
        <v>0</v>
      </c>
      <c r="D119" s="115" t="e">
        <f>B119*((VLOOKUP(A119,'Wksht 3. Conversion Factors'!$A$12:$F$46,5,FALSE)*'Wksht 4. Calculations'!$B$15)+(VLOOKUP(A119,'Wksht 3. Conversion Factors'!$A$12:$F$46,6,FALSE)*'Wksht 4. Calculations'!$B$16))</f>
        <v>#DIV/0!</v>
      </c>
      <c r="E119" s="44" t="e">
        <f t="shared" si="1"/>
        <v>#DIV/0!</v>
      </c>
      <c r="F119" s="30"/>
      <c r="G119" s="30"/>
      <c r="H119" s="30"/>
    </row>
    <row r="120" spans="1:8" s="33" customFormat="1" ht="12.75">
      <c r="A120" s="221" t="s">
        <v>378</v>
      </c>
      <c r="B120" s="42">
        <f t="shared" si="0"/>
        <v>0</v>
      </c>
      <c r="C120" s="115">
        <f>B120*VLOOKUP(A120,'Wksht 3. Conversion Factors'!$A$12:$F$46,2,FALSE)</f>
        <v>0</v>
      </c>
      <c r="D120" s="115" t="e">
        <f>B120*((VLOOKUP(A120,'Wksht 3. Conversion Factors'!$A$12:$F$46,5,FALSE)*'Wksht 4. Calculations'!$B$15)+(VLOOKUP(A120,'Wksht 3. Conversion Factors'!$A$12:$F$46,6,FALSE)*'Wksht 4. Calculations'!$B$16))</f>
        <v>#DIV/0!</v>
      </c>
      <c r="E120" s="44" t="e">
        <f t="shared" si="1"/>
        <v>#DIV/0!</v>
      </c>
      <c r="F120" s="30"/>
      <c r="G120" s="30"/>
      <c r="H120" s="30"/>
    </row>
    <row r="121" spans="1:8" s="33" customFormat="1" ht="12.75">
      <c r="A121" s="221" t="s">
        <v>372</v>
      </c>
      <c r="B121" s="42">
        <f t="shared" si="0"/>
        <v>0</v>
      </c>
      <c r="C121" s="115">
        <f>B121*VLOOKUP(A121,'Wksht 3. Conversion Factors'!$A$12:$F$46,2,FALSE)</f>
        <v>0</v>
      </c>
      <c r="D121" s="115" t="e">
        <f>B121*((VLOOKUP(A121,'Wksht 3. Conversion Factors'!$A$12:$F$46,5,FALSE)*'Wksht 4. Calculations'!$B$15)+(VLOOKUP(A121,'Wksht 3. Conversion Factors'!$A$12:$F$46,6,FALSE)*'Wksht 4. Calculations'!$B$16))</f>
        <v>#DIV/0!</v>
      </c>
      <c r="E121" s="44" t="e">
        <f t="shared" si="1"/>
        <v>#DIV/0!</v>
      </c>
      <c r="F121" s="30"/>
      <c r="G121" s="30"/>
      <c r="H121" s="30"/>
    </row>
    <row r="122" spans="1:8" s="33" customFormat="1" ht="12.75">
      <c r="A122" s="221" t="s">
        <v>476</v>
      </c>
      <c r="B122" s="42">
        <f t="shared" si="0"/>
        <v>0</v>
      </c>
      <c r="C122" s="115">
        <f>B122*VLOOKUP(A122,'Wksht 3. Conversion Factors'!$A$12:$F$46,2,FALSE)</f>
        <v>0</v>
      </c>
      <c r="D122" s="115" t="e">
        <f>B122*((VLOOKUP(A122,'Wksht 3. Conversion Factors'!$A$12:$F$46,5,FALSE)*'Wksht 4. Calculations'!$B$15)+(VLOOKUP(A122,'Wksht 3. Conversion Factors'!$A$12:$F$46,6,FALSE)*'Wksht 4. Calculations'!$B$16))</f>
        <v>#DIV/0!</v>
      </c>
      <c r="E122" s="44" t="e">
        <f t="shared" si="1"/>
        <v>#DIV/0!</v>
      </c>
      <c r="F122" s="30"/>
      <c r="G122" s="30"/>
      <c r="H122" s="30"/>
    </row>
    <row r="123" spans="1:8" s="33" customFormat="1" ht="12.75">
      <c r="A123" s="221" t="s">
        <v>370</v>
      </c>
      <c r="B123" s="42">
        <f t="shared" si="0"/>
        <v>0</v>
      </c>
      <c r="C123" s="115">
        <f>B123*VLOOKUP(A123,'Wksht 3. Conversion Factors'!$A$12:$F$46,2,FALSE)</f>
        <v>0</v>
      </c>
      <c r="D123" s="115" t="e">
        <f>B123*((VLOOKUP(A123,'Wksht 3. Conversion Factors'!$A$12:$F$46,5,FALSE)*'Wksht 4. Calculations'!$B$15)+(VLOOKUP(A123,'Wksht 3. Conversion Factors'!$A$12:$F$46,6,FALSE)*'Wksht 4. Calculations'!$B$16))</f>
        <v>#DIV/0!</v>
      </c>
      <c r="E123" s="44" t="e">
        <f t="shared" si="1"/>
        <v>#DIV/0!</v>
      </c>
      <c r="F123" s="30"/>
      <c r="G123" s="30"/>
      <c r="H123" s="30"/>
    </row>
    <row r="124" spans="1:8" s="33" customFormat="1" ht="12.75">
      <c r="A124" s="221" t="s">
        <v>371</v>
      </c>
      <c r="B124" s="42">
        <f t="shared" si="0"/>
        <v>0</v>
      </c>
      <c r="C124" s="115">
        <f>B124*VLOOKUP(A124,'Wksht 3. Conversion Factors'!$A$12:$F$46,2,FALSE)</f>
        <v>0</v>
      </c>
      <c r="D124" s="115" t="e">
        <f>B124*((VLOOKUP(A124,'Wksht 3. Conversion Factors'!$A$12:$F$46,5,FALSE)*'Wksht 4. Calculations'!$B$15)+(VLOOKUP(A124,'Wksht 3. Conversion Factors'!$A$12:$F$46,6,FALSE)*'Wksht 4. Calculations'!$B$16))</f>
        <v>#DIV/0!</v>
      </c>
      <c r="E124" s="44" t="e">
        <f t="shared" si="1"/>
        <v>#DIV/0!</v>
      </c>
      <c r="F124" s="30"/>
      <c r="G124" s="30"/>
      <c r="H124" s="30"/>
    </row>
    <row r="125" spans="1:8" s="33" customFormat="1" ht="12.75">
      <c r="A125" s="221" t="s">
        <v>477</v>
      </c>
      <c r="B125" s="42">
        <f t="shared" si="0"/>
        <v>0</v>
      </c>
      <c r="C125" s="115">
        <f>B125*VLOOKUP(A125,'Wksht 3. Conversion Factors'!$A$12:$F$46,2,FALSE)</f>
        <v>0</v>
      </c>
      <c r="D125" s="115" t="e">
        <f>B125*((VLOOKUP(A125,'Wksht 3. Conversion Factors'!$A$12:$F$46,5,FALSE)*'Wksht 4. Calculations'!$B$15)+(VLOOKUP(A125,'Wksht 3. Conversion Factors'!$A$12:$F$46,6,FALSE)*'Wksht 4. Calculations'!$B$16))</f>
        <v>#DIV/0!</v>
      </c>
      <c r="E125" s="44" t="e">
        <f t="shared" si="1"/>
        <v>#DIV/0!</v>
      </c>
      <c r="F125" s="30"/>
      <c r="G125" s="30"/>
      <c r="H125" s="30"/>
    </row>
    <row r="126" spans="1:8" s="33" customFormat="1" ht="12.75">
      <c r="A126" s="221" t="s">
        <v>478</v>
      </c>
      <c r="B126" s="42">
        <f t="shared" si="0"/>
        <v>0</v>
      </c>
      <c r="C126" s="115">
        <f>B126*VLOOKUP(A126,'Wksht 3. Conversion Factors'!$A$12:$F$46,2,FALSE)</f>
        <v>0</v>
      </c>
      <c r="D126" s="115" t="e">
        <f>B126*((VLOOKUP(A126,'Wksht 3. Conversion Factors'!$A$12:$F$46,5,FALSE)*'Wksht 4. Calculations'!$B$15)+(VLOOKUP(A126,'Wksht 3. Conversion Factors'!$A$12:$F$46,6,FALSE)*'Wksht 4. Calculations'!$B$16))</f>
        <v>#DIV/0!</v>
      </c>
      <c r="E126" s="44" t="e">
        <f t="shared" si="1"/>
        <v>#DIV/0!</v>
      </c>
      <c r="F126" s="30"/>
      <c r="G126" s="30"/>
      <c r="H126" s="30"/>
    </row>
    <row r="127" spans="1:8" s="33" customFormat="1" ht="12.75">
      <c r="A127" s="221" t="s">
        <v>149</v>
      </c>
      <c r="B127" s="42">
        <f t="shared" si="0"/>
        <v>0</v>
      </c>
      <c r="C127" s="115">
        <f>B127*VLOOKUP(A127,'Wksht 3. Conversion Factors'!$A$12:$F$46,2,FALSE)</f>
        <v>0</v>
      </c>
      <c r="D127" s="115" t="e">
        <f>B127*((VLOOKUP(A127,'Wksht 3. Conversion Factors'!$A$12:$F$46,5,FALSE)*'Wksht 4. Calculations'!$B$15)+(VLOOKUP(A127,'Wksht 3. Conversion Factors'!$A$12:$F$46,6,FALSE)*'Wksht 4. Calculations'!$B$16))</f>
        <v>#DIV/0!</v>
      </c>
      <c r="E127" s="44" t="e">
        <f>C127-D127</f>
        <v>#DIV/0!</v>
      </c>
      <c r="F127" s="218"/>
      <c r="G127" s="30"/>
      <c r="H127" s="30"/>
    </row>
    <row r="128" spans="1:8" s="33" customFormat="1" ht="12.75">
      <c r="A128" s="221" t="s">
        <v>88</v>
      </c>
      <c r="B128" s="42">
        <f>C33</f>
        <v>0</v>
      </c>
      <c r="C128" s="115">
        <f>B128*VLOOKUP(A128,'Wksht 3. Conversion Factors'!$A$12:$F$46,2,FALSE)</f>
        <v>0</v>
      </c>
      <c r="D128" s="115" t="e">
        <f>B128*((VLOOKUP(A128,'Wksht 3. Conversion Factors'!$A$12:$F$46,5,FALSE)*'Wksht 4. Calculations'!$B$15)+(VLOOKUP(A128,'Wksht 3. Conversion Factors'!$A$12:$F$46,6,FALSE)*'Wksht 4. Calculations'!$B$16))</f>
        <v>#DIV/0!</v>
      </c>
      <c r="E128" s="44" t="e">
        <f>C128-D128</f>
        <v>#DIV/0!</v>
      </c>
      <c r="F128" s="30"/>
      <c r="G128" s="30"/>
      <c r="H128" s="30"/>
    </row>
    <row r="129" spans="1:8" s="33" customFormat="1" ht="12.75">
      <c r="A129" s="221" t="s">
        <v>322</v>
      </c>
      <c r="B129" s="42">
        <f>C34</f>
        <v>0</v>
      </c>
      <c r="C129" s="115">
        <f>B129*VLOOKUP(A129,'Wksht 3. Conversion Factors'!$A$12:$F$46,2,FALSE)</f>
        <v>0</v>
      </c>
      <c r="D129" s="115" t="e">
        <f>B129*((VLOOKUP(A129,'Wksht 3. Conversion Factors'!$A$12:$F$46,5,FALSE)*'Wksht 4. Calculations'!$B$15)+(VLOOKUP(A129,'Wksht 3. Conversion Factors'!$A$12:$F$46,6,FALSE)*'Wksht 4. Calculations'!$B$16))</f>
        <v>#DIV/0!</v>
      </c>
      <c r="E129" s="44" t="e">
        <f>C129-D129</f>
        <v>#DIV/0!</v>
      </c>
      <c r="F129" s="218"/>
      <c r="G129" s="30"/>
      <c r="H129" s="30"/>
    </row>
    <row r="130" spans="1:8" s="33" customFormat="1" ht="12.75">
      <c r="A130" s="221" t="s">
        <v>321</v>
      </c>
      <c r="B130" s="42">
        <f>C35</f>
        <v>0</v>
      </c>
      <c r="C130" s="115">
        <f>B130*VLOOKUP(A130,'Wksht 3. Conversion Factors'!$A$12:$F$46,2,FALSE)</f>
        <v>0</v>
      </c>
      <c r="D130" s="115" t="e">
        <f>B130*((VLOOKUP(A130,'Wksht 3. Conversion Factors'!$A$12:$F$46,5,FALSE)*'Wksht 4. Calculations'!$B$15)+(VLOOKUP(A130,'Wksht 3. Conversion Factors'!$A$12:$F$46,6,FALSE)*'Wksht 4. Calculations'!$B$16))</f>
        <v>#DIV/0!</v>
      </c>
      <c r="E130" s="44" t="e">
        <f>C130-D130</f>
        <v>#DIV/0!</v>
      </c>
      <c r="F130" s="30"/>
      <c r="G130" s="30"/>
      <c r="H130" s="30"/>
    </row>
    <row r="131" spans="1:5" ht="12.75">
      <c r="A131" s="436" t="s">
        <v>323</v>
      </c>
      <c r="B131" s="42">
        <f>C36</f>
        <v>0</v>
      </c>
      <c r="C131" s="115">
        <f>B131*VLOOKUP(A131,'Wksht 3. Conversion Factors'!$A$12:$F$46,2,FALSE)</f>
        <v>0</v>
      </c>
      <c r="D131" s="115" t="e">
        <f>B131*((VLOOKUP(A131,'Wksht 3. Conversion Factors'!$A$12:$F$46,5,FALSE)*'Wksht 4. Calculations'!$B$15)+(VLOOKUP(A131,'Wksht 3. Conversion Factors'!$A$12:$F$46,6,FALSE)*'Wksht 4. Calculations'!$B$16))</f>
        <v>#DIV/0!</v>
      </c>
      <c r="E131" s="44" t="e">
        <f>C131-D131</f>
        <v>#DIV/0!</v>
      </c>
    </row>
    <row r="132" spans="1:8" s="33" customFormat="1" ht="12.75">
      <c r="A132" s="221" t="s">
        <v>86</v>
      </c>
      <c r="B132" s="42">
        <f aca="true" t="shared" si="2" ref="B132:B142">C37</f>
        <v>0</v>
      </c>
      <c r="C132" s="52" t="s">
        <v>404</v>
      </c>
      <c r="D132" s="52" t="s">
        <v>404</v>
      </c>
      <c r="E132" s="44" t="s">
        <v>404</v>
      </c>
      <c r="F132" s="30"/>
      <c r="G132" s="30"/>
      <c r="H132" s="30"/>
    </row>
    <row r="133" spans="1:8" s="33" customFormat="1" ht="12.75">
      <c r="A133" s="221" t="s">
        <v>393</v>
      </c>
      <c r="B133" s="42">
        <f t="shared" si="2"/>
        <v>0</v>
      </c>
      <c r="C133" s="115">
        <f>B133*VLOOKUP(A133,'Wksht 3. Conversion Factors'!$A$12:$F$46,2,FALSE)</f>
        <v>0</v>
      </c>
      <c r="D133" s="115" t="e">
        <f>B133*((VLOOKUP(A133,'Wksht 3. Conversion Factors'!$A$12:$F$46,5,FALSE)*'Wksht 4. Calculations'!$B$15)+(VLOOKUP(A133,'Wksht 3. Conversion Factors'!$A$12:$F$46,6,FALSE)*'Wksht 4. Calculations'!$B$16))</f>
        <v>#DIV/0!</v>
      </c>
      <c r="E133" s="44" t="e">
        <f>C133-D133</f>
        <v>#DIV/0!</v>
      </c>
      <c r="F133" s="30"/>
      <c r="G133" s="30"/>
      <c r="H133" s="30"/>
    </row>
    <row r="134" spans="1:8" s="33" customFormat="1" ht="12.75">
      <c r="A134" s="221" t="s">
        <v>407</v>
      </c>
      <c r="B134" s="42">
        <f t="shared" si="2"/>
        <v>0</v>
      </c>
      <c r="C134" s="115">
        <f>B134*VLOOKUP(A134,'Wksht 3. Conversion Factors'!$A$12:$F$46,2,FALSE)</f>
        <v>0</v>
      </c>
      <c r="D134" s="115" t="e">
        <f>B134*((VLOOKUP(A134,'Wksht 3. Conversion Factors'!$A$12:$F$46,5,FALSE)*'Wksht 4. Calculations'!$B$15)+(VLOOKUP(A134,'Wksht 3. Conversion Factors'!$A$12:$F$46,6,FALSE)*'Wksht 4. Calculations'!$B$16))</f>
        <v>#DIV/0!</v>
      </c>
      <c r="E134" s="44" t="e">
        <f>C134-D134</f>
        <v>#DIV/0!</v>
      </c>
      <c r="F134" s="30"/>
      <c r="G134" s="30"/>
      <c r="H134" s="30"/>
    </row>
    <row r="135" spans="1:8" s="33" customFormat="1" ht="12.75">
      <c r="A135" s="221" t="s">
        <v>68</v>
      </c>
      <c r="B135" s="42">
        <f t="shared" si="2"/>
        <v>0</v>
      </c>
      <c r="C135" s="115">
        <f>B135*VLOOKUP(A135,'Wksht 3. Conversion Factors'!$A$12:$F$46,2,FALSE)</f>
        <v>0</v>
      </c>
      <c r="D135" s="115" t="e">
        <f>B135*((VLOOKUP(A135,'Wksht 3. Conversion Factors'!$A$12:$F$46,5,FALSE)*'Wksht 4. Calculations'!$B$15)+(VLOOKUP(A135,'Wksht 3. Conversion Factors'!$A$12:$F$46,6,FALSE)*'Wksht 4. Calculations'!$B$16))</f>
        <v>#DIV/0!</v>
      </c>
      <c r="E135" s="44" t="e">
        <f>C135-D135</f>
        <v>#DIV/0!</v>
      </c>
      <c r="F135" s="30"/>
      <c r="G135" s="30"/>
      <c r="H135" s="30"/>
    </row>
    <row r="136" spans="1:8" s="33" customFormat="1" ht="12.75">
      <c r="A136" s="221" t="s">
        <v>144</v>
      </c>
      <c r="B136" s="42">
        <f t="shared" si="2"/>
        <v>0</v>
      </c>
      <c r="C136" s="115">
        <f>B136*VLOOKUP(A136,'Wksht 3. Conversion Factors'!$A$12:$F$46,2,FALSE)</f>
        <v>0</v>
      </c>
      <c r="D136" s="115">
        <f>B136*((VLOOKUP(A136,'Wksht 3. Conversion Factors'!$A$12:$F$46,6,FALSE)))</f>
        <v>0</v>
      </c>
      <c r="E136" s="44">
        <f>C136-D136</f>
        <v>0</v>
      </c>
      <c r="F136" s="30"/>
      <c r="G136" s="30"/>
      <c r="H136" s="30"/>
    </row>
    <row r="137" spans="1:8" s="33" customFormat="1" ht="12.75">
      <c r="A137" s="221" t="s">
        <v>145</v>
      </c>
      <c r="B137" s="42">
        <f t="shared" si="2"/>
        <v>0</v>
      </c>
      <c r="C137" s="52" t="s">
        <v>404</v>
      </c>
      <c r="D137" s="122" t="s">
        <v>404</v>
      </c>
      <c r="E137" s="121" t="s">
        <v>404</v>
      </c>
      <c r="F137" s="30"/>
      <c r="G137" s="30"/>
      <c r="H137" s="30"/>
    </row>
    <row r="138" spans="1:8" s="33" customFormat="1" ht="12.75">
      <c r="A138" s="221" t="s">
        <v>146</v>
      </c>
      <c r="B138" s="42">
        <f t="shared" si="2"/>
        <v>0</v>
      </c>
      <c r="C138" s="52" t="s">
        <v>404</v>
      </c>
      <c r="D138" s="52" t="s">
        <v>404</v>
      </c>
      <c r="E138" s="121" t="s">
        <v>404</v>
      </c>
      <c r="F138" s="30"/>
      <c r="G138" s="30"/>
      <c r="H138" s="30"/>
    </row>
    <row r="139" spans="1:8" s="33" customFormat="1" ht="12.75">
      <c r="A139" s="221" t="s">
        <v>85</v>
      </c>
      <c r="B139" s="42">
        <f t="shared" si="2"/>
        <v>0</v>
      </c>
      <c r="C139" s="115" t="s">
        <v>404</v>
      </c>
      <c r="D139" s="115" t="s">
        <v>404</v>
      </c>
      <c r="E139" s="121" t="s">
        <v>404</v>
      </c>
      <c r="F139" s="30"/>
      <c r="G139" s="30"/>
      <c r="H139" s="30"/>
    </row>
    <row r="140" spans="1:8" s="33" customFormat="1" ht="12.75">
      <c r="A140" s="221" t="s">
        <v>479</v>
      </c>
      <c r="B140" s="42">
        <f t="shared" si="2"/>
        <v>0</v>
      </c>
      <c r="C140" s="115" t="s">
        <v>404</v>
      </c>
      <c r="D140" s="115" t="s">
        <v>404</v>
      </c>
      <c r="E140" s="121" t="s">
        <v>404</v>
      </c>
      <c r="F140" s="30"/>
      <c r="G140" s="30"/>
      <c r="H140" s="30"/>
    </row>
    <row r="141" spans="1:8" s="33" customFormat="1" ht="12.75">
      <c r="A141" s="221" t="s">
        <v>480</v>
      </c>
      <c r="B141" s="42">
        <f t="shared" si="2"/>
        <v>0</v>
      </c>
      <c r="C141" s="115" t="s">
        <v>404</v>
      </c>
      <c r="D141" s="115" t="s">
        <v>404</v>
      </c>
      <c r="E141" s="121" t="s">
        <v>404</v>
      </c>
      <c r="F141" s="30"/>
      <c r="G141" s="30"/>
      <c r="H141" s="30"/>
    </row>
    <row r="142" spans="1:8" s="33" customFormat="1" ht="12.75">
      <c r="A142" s="221" t="s">
        <v>389</v>
      </c>
      <c r="B142" s="42">
        <f t="shared" si="2"/>
        <v>0</v>
      </c>
      <c r="C142" s="115" t="s">
        <v>404</v>
      </c>
      <c r="D142" s="115" t="s">
        <v>404</v>
      </c>
      <c r="E142" s="121" t="s">
        <v>404</v>
      </c>
      <c r="F142" s="30"/>
      <c r="G142" s="30"/>
      <c r="H142" s="30"/>
    </row>
    <row r="143" spans="1:8" s="33" customFormat="1" ht="12.75">
      <c r="A143" s="221" t="s">
        <v>87</v>
      </c>
      <c r="B143" s="42">
        <f>C49</f>
        <v>0</v>
      </c>
      <c r="C143" s="52" t="s">
        <v>404</v>
      </c>
      <c r="D143" s="52" t="s">
        <v>404</v>
      </c>
      <c r="E143" s="44" t="s">
        <v>404</v>
      </c>
      <c r="F143" s="30"/>
      <c r="G143" s="30"/>
      <c r="H143" s="30"/>
    </row>
    <row r="144" spans="1:8" s="33" customFormat="1" ht="27.75" customHeight="1" thickBot="1">
      <c r="A144" s="493" t="s">
        <v>338</v>
      </c>
      <c r="B144" s="525">
        <f>SUM(B115:B143)</f>
        <v>0</v>
      </c>
      <c r="C144" s="525">
        <f>SUM(C115:C143)</f>
        <v>0</v>
      </c>
      <c r="D144" s="525" t="e">
        <f>SUM(D115:D143)</f>
        <v>#DIV/0!</v>
      </c>
      <c r="E144" s="526" t="e">
        <f>C144-D144</f>
        <v>#DIV/0!</v>
      </c>
      <c r="F144" s="30"/>
      <c r="G144" s="30"/>
      <c r="H144" s="30"/>
    </row>
    <row r="145" spans="1:8" s="33" customFormat="1" ht="27.75" customHeight="1">
      <c r="A145" s="626" t="s">
        <v>58</v>
      </c>
      <c r="B145" s="571"/>
      <c r="C145" s="571"/>
      <c r="D145" s="571"/>
      <c r="E145" s="571"/>
      <c r="F145" s="571"/>
      <c r="G145" s="571"/>
      <c r="H145" s="30"/>
    </row>
    <row r="146" spans="1:8" s="33" customFormat="1" ht="14.25">
      <c r="A146" s="230"/>
      <c r="D146" s="30"/>
      <c r="E146" s="30"/>
      <c r="F146" s="30"/>
      <c r="G146" s="30"/>
      <c r="H146" s="30"/>
    </row>
    <row r="147" spans="1:8" s="33" customFormat="1" ht="12.75">
      <c r="A147" s="224" t="s">
        <v>438</v>
      </c>
      <c r="E147" s="30"/>
      <c r="F147" s="30"/>
      <c r="G147" s="30"/>
      <c r="H147" s="30"/>
    </row>
    <row r="148" spans="1:8" s="33" customFormat="1" ht="12.75">
      <c r="A148" s="107" t="str">
        <f>'Wksht 1. Data Inputs'!B14</f>
        <v>PA Department of Environmental Protection</v>
      </c>
      <c r="E148" s="30"/>
      <c r="F148" s="30"/>
      <c r="G148" s="30"/>
      <c r="H148" s="30"/>
    </row>
    <row r="149" spans="1:8" s="33" customFormat="1" ht="12.75">
      <c r="A149" s="33" t="str">
        <f>'Wksht 3. Conversion Factors'!B47</f>
        <v>U.S. EPA. "WARM Online, Version 8." (June 2006). 26 June 06 http://yosemite.epa.gov/oar/globalwarming.nsf/WARM.</v>
      </c>
      <c r="E149" s="30"/>
      <c r="F149" s="30"/>
      <c r="G149" s="30"/>
      <c r="H149" s="30"/>
    </row>
    <row r="150" spans="1:8" s="33" customFormat="1" ht="24" customHeight="1">
      <c r="A150" s="585" t="str">
        <f>'Wksht 3. Conversion Factors'!B48</f>
        <v>U.S. EPA. "Solid Waste Management and Greenhouse Gases: A Life-Cycle Assessment of Emissions and Sinks. 2nd edition." EPA 530-R-02-006. 11 Nov 2005 http://www.epa.gov/epaoswer/non-hw/muncpl/ghg/ghg.htm. </v>
      </c>
      <c r="B150" s="571"/>
      <c r="C150" s="571"/>
      <c r="D150" s="571"/>
      <c r="E150" s="571"/>
      <c r="F150" s="571"/>
      <c r="G150" s="571"/>
      <c r="H150" s="30"/>
    </row>
    <row r="151" spans="1:8" s="33" customFormat="1" ht="12.75">
      <c r="A151" s="116"/>
      <c r="B151" s="11"/>
      <c r="C151" s="11"/>
      <c r="D151" s="11"/>
      <c r="E151" s="11"/>
      <c r="F151" s="11"/>
      <c r="G151" s="11"/>
      <c r="H151" s="30"/>
    </row>
    <row r="152" spans="1:8" s="33" customFormat="1" ht="12.75">
      <c r="A152" s="116"/>
      <c r="B152" s="11"/>
      <c r="C152" s="11"/>
      <c r="D152" s="11"/>
      <c r="E152" s="11"/>
      <c r="F152" s="11"/>
      <c r="G152" s="11"/>
      <c r="H152" s="30"/>
    </row>
    <row r="153" spans="1:8" s="33" customFormat="1" ht="18">
      <c r="A153" s="16" t="s">
        <v>20</v>
      </c>
      <c r="B153" s="11"/>
      <c r="C153" s="11"/>
      <c r="D153" s="11"/>
      <c r="E153" s="11"/>
      <c r="F153" s="11"/>
      <c r="G153" s="11"/>
      <c r="H153" s="30"/>
    </row>
    <row r="154" spans="1:8" s="33" customFormat="1" ht="12.75">
      <c r="A154" s="116"/>
      <c r="B154" s="11"/>
      <c r="C154" s="11"/>
      <c r="D154" s="11"/>
      <c r="E154" s="11"/>
      <c r="F154" s="11"/>
      <c r="G154" s="11"/>
      <c r="H154" s="30"/>
    </row>
    <row r="155" spans="1:8" s="33" customFormat="1" ht="12.75">
      <c r="A155" s="116"/>
      <c r="B155" s="11"/>
      <c r="C155" s="11"/>
      <c r="D155" s="11"/>
      <c r="E155" s="11"/>
      <c r="F155" s="11"/>
      <c r="G155" s="11"/>
      <c r="H155" s="30"/>
    </row>
    <row r="156" spans="1:8" s="33" customFormat="1" ht="12.75">
      <c r="A156" s="116"/>
      <c r="B156" s="11"/>
      <c r="C156" s="11"/>
      <c r="D156" s="11"/>
      <c r="E156" s="11"/>
      <c r="F156" s="11"/>
      <c r="G156" s="11"/>
      <c r="H156" s="30"/>
    </row>
    <row r="157" spans="1:8" s="33" customFormat="1" ht="12.75">
      <c r="A157" s="116"/>
      <c r="B157" s="11"/>
      <c r="C157" s="11"/>
      <c r="D157" s="11"/>
      <c r="E157" s="11"/>
      <c r="F157" s="11"/>
      <c r="G157" s="11"/>
      <c r="H157" s="30"/>
    </row>
    <row r="158" spans="1:8" s="33" customFormat="1" ht="12.75">
      <c r="A158" s="116"/>
      <c r="B158" s="11"/>
      <c r="C158" s="11"/>
      <c r="D158" s="11"/>
      <c r="E158" s="11"/>
      <c r="F158" s="11"/>
      <c r="G158" s="11"/>
      <c r="H158" s="30"/>
    </row>
    <row r="159" spans="1:8" s="33" customFormat="1" ht="12.75">
      <c r="A159" s="116"/>
      <c r="B159" s="11"/>
      <c r="C159" s="11"/>
      <c r="D159" s="11"/>
      <c r="E159" s="11"/>
      <c r="F159" s="11"/>
      <c r="G159" s="11"/>
      <c r="H159" s="30"/>
    </row>
    <row r="160" spans="1:8" s="33" customFormat="1" ht="12.75">
      <c r="A160" s="116"/>
      <c r="B160" s="11"/>
      <c r="C160" s="11"/>
      <c r="D160" s="11"/>
      <c r="E160" s="11"/>
      <c r="F160" s="11"/>
      <c r="G160" s="11"/>
      <c r="H160" s="30"/>
    </row>
    <row r="161" spans="1:8" s="33" customFormat="1" ht="12.75">
      <c r="A161" s="116"/>
      <c r="B161" s="11"/>
      <c r="C161" s="11"/>
      <c r="D161" s="11"/>
      <c r="E161" s="11"/>
      <c r="F161" s="11"/>
      <c r="G161" s="11"/>
      <c r="H161" s="30"/>
    </row>
    <row r="162" spans="1:8" s="33" customFormat="1" ht="12.75">
      <c r="A162" s="116"/>
      <c r="B162" s="11"/>
      <c r="C162" s="11"/>
      <c r="D162" s="11"/>
      <c r="E162" s="11"/>
      <c r="F162" s="11"/>
      <c r="G162" s="11"/>
      <c r="H162" s="30"/>
    </row>
    <row r="163" spans="1:8" s="33" customFormat="1" ht="12.75">
      <c r="A163" s="116"/>
      <c r="B163" s="11"/>
      <c r="C163" s="11"/>
      <c r="D163" s="11"/>
      <c r="E163" s="11"/>
      <c r="F163" s="11"/>
      <c r="G163" s="11"/>
      <c r="H163" s="30"/>
    </row>
    <row r="164" spans="1:8" s="33" customFormat="1" ht="12.75">
      <c r="A164" s="116"/>
      <c r="B164" s="11"/>
      <c r="C164" s="11"/>
      <c r="D164" s="11"/>
      <c r="E164" s="11"/>
      <c r="F164" s="11"/>
      <c r="G164" s="11"/>
      <c r="H164" s="30"/>
    </row>
    <row r="165" spans="1:8" s="33" customFormat="1" ht="12.75">
      <c r="A165" s="116"/>
      <c r="B165" s="11"/>
      <c r="C165" s="11"/>
      <c r="D165" s="11"/>
      <c r="E165" s="11"/>
      <c r="F165" s="11"/>
      <c r="G165" s="11"/>
      <c r="H165" s="30"/>
    </row>
    <row r="166" spans="1:8" s="33" customFormat="1" ht="12.75">
      <c r="A166" s="116"/>
      <c r="B166" s="11"/>
      <c r="C166" s="11"/>
      <c r="D166" s="11"/>
      <c r="E166" s="11"/>
      <c r="F166" s="11"/>
      <c r="G166" s="11"/>
      <c r="H166" s="30"/>
    </row>
    <row r="167" spans="1:8" s="33" customFormat="1" ht="12.75">
      <c r="A167" s="116"/>
      <c r="B167" s="11"/>
      <c r="C167" s="11"/>
      <c r="D167" s="11"/>
      <c r="E167" s="11"/>
      <c r="F167" s="11"/>
      <c r="G167" s="11"/>
      <c r="H167" s="30"/>
    </row>
    <row r="168" spans="1:8" s="33" customFormat="1" ht="12.75">
      <c r="A168" s="116"/>
      <c r="B168" s="11"/>
      <c r="C168" s="11"/>
      <c r="D168" s="11"/>
      <c r="E168" s="11"/>
      <c r="F168" s="11"/>
      <c r="G168" s="11"/>
      <c r="H168" s="30"/>
    </row>
    <row r="169" spans="1:8" s="33" customFormat="1" ht="12.75">
      <c r="A169" s="116"/>
      <c r="B169" s="11"/>
      <c r="C169" s="11"/>
      <c r="D169" s="11"/>
      <c r="E169" s="11"/>
      <c r="F169" s="11"/>
      <c r="G169" s="11"/>
      <c r="H169" s="30"/>
    </row>
    <row r="170" spans="1:8" s="33" customFormat="1" ht="12.75">
      <c r="A170" s="116"/>
      <c r="B170" s="11"/>
      <c r="C170" s="11"/>
      <c r="D170" s="11"/>
      <c r="E170" s="11"/>
      <c r="F170" s="11"/>
      <c r="G170" s="11"/>
      <c r="H170" s="30"/>
    </row>
    <row r="171" spans="1:8" s="33" customFormat="1" ht="12.75">
      <c r="A171" s="116"/>
      <c r="B171" s="11"/>
      <c r="C171" s="11"/>
      <c r="D171" s="11"/>
      <c r="E171" s="11"/>
      <c r="F171" s="11"/>
      <c r="G171" s="11"/>
      <c r="H171" s="30"/>
    </row>
    <row r="172" spans="1:8" s="33" customFormat="1" ht="12.75">
      <c r="A172" s="116"/>
      <c r="B172" s="11"/>
      <c r="C172" s="11"/>
      <c r="D172" s="11"/>
      <c r="E172" s="11"/>
      <c r="F172" s="11"/>
      <c r="G172" s="11"/>
      <c r="H172" s="30"/>
    </row>
    <row r="173" spans="1:8" s="33" customFormat="1" ht="12.75">
      <c r="A173" s="116"/>
      <c r="B173" s="11"/>
      <c r="C173" s="11"/>
      <c r="D173" s="11"/>
      <c r="E173" s="11"/>
      <c r="F173" s="11"/>
      <c r="G173" s="11"/>
      <c r="H173" s="30"/>
    </row>
    <row r="174" spans="1:8" s="33" customFormat="1" ht="12.75">
      <c r="A174" s="116"/>
      <c r="B174" s="11"/>
      <c r="C174" s="11"/>
      <c r="D174" s="11"/>
      <c r="E174" s="11"/>
      <c r="F174" s="11"/>
      <c r="G174" s="11"/>
      <c r="H174" s="30"/>
    </row>
    <row r="175" spans="1:8" s="33" customFormat="1" ht="12.75">
      <c r="A175" s="116"/>
      <c r="B175" s="11"/>
      <c r="C175" s="11"/>
      <c r="D175" s="11"/>
      <c r="E175" s="11"/>
      <c r="F175" s="11"/>
      <c r="G175" s="11"/>
      <c r="H175" s="30"/>
    </row>
    <row r="176" spans="1:8" s="33" customFormat="1" ht="12.75">
      <c r="A176" s="116"/>
      <c r="B176" s="11"/>
      <c r="C176" s="11"/>
      <c r="D176" s="11"/>
      <c r="E176" s="11"/>
      <c r="F176" s="11"/>
      <c r="G176" s="11"/>
      <c r="H176" s="30"/>
    </row>
    <row r="177" spans="1:8" s="33" customFormat="1" ht="12.75">
      <c r="A177" s="116"/>
      <c r="B177" s="11"/>
      <c r="C177" s="11"/>
      <c r="D177" s="11"/>
      <c r="E177" s="11"/>
      <c r="F177" s="11"/>
      <c r="G177" s="11"/>
      <c r="H177" s="30"/>
    </row>
    <row r="178" spans="1:8" s="33" customFormat="1" ht="12.75">
      <c r="A178" s="116"/>
      <c r="B178" s="11"/>
      <c r="C178" s="11"/>
      <c r="D178" s="11"/>
      <c r="E178" s="11"/>
      <c r="F178" s="11"/>
      <c r="G178" s="11"/>
      <c r="H178" s="30"/>
    </row>
    <row r="179" spans="1:8" s="33" customFormat="1" ht="12.75">
      <c r="A179" s="116"/>
      <c r="B179" s="11"/>
      <c r="C179" s="11"/>
      <c r="D179" s="11"/>
      <c r="E179" s="11"/>
      <c r="F179" s="11"/>
      <c r="G179" s="11"/>
      <c r="H179" s="30"/>
    </row>
    <row r="180" spans="1:8" s="33" customFormat="1" ht="12.75">
      <c r="A180" s="116"/>
      <c r="B180" s="11"/>
      <c r="C180" s="11"/>
      <c r="D180" s="11"/>
      <c r="E180" s="11"/>
      <c r="F180" s="11"/>
      <c r="G180" s="11"/>
      <c r="H180" s="30"/>
    </row>
    <row r="181" spans="1:8" s="33" customFormat="1" ht="12.75">
      <c r="A181" s="116"/>
      <c r="B181" s="11"/>
      <c r="C181" s="11"/>
      <c r="D181" s="11"/>
      <c r="E181" s="11"/>
      <c r="F181" s="11"/>
      <c r="G181" s="11"/>
      <c r="H181" s="30"/>
    </row>
    <row r="182" spans="1:8" s="33" customFormat="1" ht="12.75">
      <c r="A182" s="116"/>
      <c r="B182" s="11"/>
      <c r="C182" s="11"/>
      <c r="D182" s="11"/>
      <c r="E182" s="11"/>
      <c r="F182" s="11"/>
      <c r="G182" s="11"/>
      <c r="H182" s="30"/>
    </row>
    <row r="183" spans="1:8" s="33" customFormat="1" ht="12.75">
      <c r="A183" s="116"/>
      <c r="B183" s="11"/>
      <c r="C183" s="11"/>
      <c r="D183" s="11"/>
      <c r="E183" s="11"/>
      <c r="F183" s="11"/>
      <c r="G183" s="11"/>
      <c r="H183" s="30"/>
    </row>
    <row r="184" spans="1:8" s="33" customFormat="1" ht="12.75">
      <c r="A184" s="116"/>
      <c r="B184" s="11"/>
      <c r="C184" s="11"/>
      <c r="D184" s="11"/>
      <c r="E184" s="11"/>
      <c r="F184" s="11"/>
      <c r="G184" s="11"/>
      <c r="H184" s="30"/>
    </row>
    <row r="185" spans="1:8" s="33" customFormat="1" ht="12.75">
      <c r="A185" s="116"/>
      <c r="B185" s="11"/>
      <c r="C185" s="11"/>
      <c r="D185" s="11"/>
      <c r="E185" s="11"/>
      <c r="F185" s="11"/>
      <c r="G185" s="11"/>
      <c r="H185" s="30"/>
    </row>
    <row r="186" spans="1:8" s="33" customFormat="1" ht="12.75">
      <c r="A186" s="116"/>
      <c r="B186" s="11"/>
      <c r="C186" s="11"/>
      <c r="D186" s="11"/>
      <c r="E186" s="11"/>
      <c r="F186" s="11"/>
      <c r="G186" s="11"/>
      <c r="H186" s="30"/>
    </row>
    <row r="187" spans="1:8" s="33" customFormat="1" ht="12.75">
      <c r="A187" s="116"/>
      <c r="B187" s="11"/>
      <c r="C187" s="11"/>
      <c r="D187" s="11"/>
      <c r="E187" s="11"/>
      <c r="F187" s="11"/>
      <c r="G187" s="11"/>
      <c r="H187" s="30"/>
    </row>
    <row r="188" spans="1:8" s="33" customFormat="1" ht="12.75">
      <c r="A188" s="116"/>
      <c r="B188" s="11"/>
      <c r="C188" s="11"/>
      <c r="D188" s="11"/>
      <c r="E188" s="11"/>
      <c r="F188" s="11"/>
      <c r="G188" s="11"/>
      <c r="H188" s="30"/>
    </row>
    <row r="189" spans="1:8" s="33" customFormat="1" ht="12.75">
      <c r="A189" s="116"/>
      <c r="B189" s="11"/>
      <c r="C189" s="11"/>
      <c r="D189" s="11"/>
      <c r="E189" s="11"/>
      <c r="F189" s="11"/>
      <c r="G189" s="11"/>
      <c r="H189" s="30"/>
    </row>
    <row r="190" spans="1:8" s="33" customFormat="1" ht="12.75">
      <c r="A190" s="116"/>
      <c r="B190" s="11"/>
      <c r="C190" s="11"/>
      <c r="D190" s="11"/>
      <c r="E190" s="11"/>
      <c r="F190" s="11"/>
      <c r="G190" s="11"/>
      <c r="H190" s="30"/>
    </row>
    <row r="191" spans="1:8" s="33" customFormat="1" ht="12.75">
      <c r="A191" s="116"/>
      <c r="B191" s="11"/>
      <c r="C191" s="11"/>
      <c r="D191" s="11"/>
      <c r="E191" s="11"/>
      <c r="F191" s="11"/>
      <c r="G191" s="11"/>
      <c r="H191" s="30"/>
    </row>
    <row r="192" spans="1:8" s="33" customFormat="1" ht="12.75">
      <c r="A192" s="116"/>
      <c r="B192" s="11"/>
      <c r="C192" s="11"/>
      <c r="D192" s="11"/>
      <c r="E192" s="11"/>
      <c r="F192" s="11"/>
      <c r="G192" s="11"/>
      <c r="H192" s="30"/>
    </row>
    <row r="193" spans="1:8" s="33" customFormat="1" ht="12.75">
      <c r="A193" s="116"/>
      <c r="B193" s="11"/>
      <c r="C193" s="11"/>
      <c r="D193" s="11"/>
      <c r="E193" s="11"/>
      <c r="F193" s="11"/>
      <c r="G193" s="11"/>
      <c r="H193" s="30"/>
    </row>
    <row r="194" spans="1:8" s="33" customFormat="1" ht="12.75">
      <c r="A194" s="116"/>
      <c r="B194" s="11"/>
      <c r="C194" s="11"/>
      <c r="D194" s="11"/>
      <c r="E194" s="11"/>
      <c r="F194" s="11"/>
      <c r="G194" s="11"/>
      <c r="H194" s="30"/>
    </row>
    <row r="195" spans="1:8" s="33" customFormat="1" ht="12.75">
      <c r="A195" s="116"/>
      <c r="B195" s="11"/>
      <c r="C195" s="11"/>
      <c r="D195" s="11"/>
      <c r="E195" s="11"/>
      <c r="F195" s="11"/>
      <c r="G195" s="11"/>
      <c r="H195" s="30"/>
    </row>
    <row r="196" spans="1:8" s="33" customFormat="1" ht="12.75">
      <c r="A196" s="116"/>
      <c r="B196" s="11"/>
      <c r="C196" s="11"/>
      <c r="D196" s="11"/>
      <c r="E196" s="11"/>
      <c r="F196" s="11"/>
      <c r="G196" s="11"/>
      <c r="H196" s="30"/>
    </row>
    <row r="197" spans="1:8" s="33" customFormat="1" ht="12.75">
      <c r="A197" s="116"/>
      <c r="B197" s="11"/>
      <c r="C197" s="11"/>
      <c r="D197" s="11"/>
      <c r="E197" s="11"/>
      <c r="F197" s="11"/>
      <c r="G197" s="11"/>
      <c r="H197" s="30"/>
    </row>
    <row r="198" spans="1:8" s="33" customFormat="1" ht="12.75">
      <c r="A198" s="116"/>
      <c r="B198" s="11"/>
      <c r="C198" s="11"/>
      <c r="D198" s="11"/>
      <c r="E198" s="11"/>
      <c r="F198" s="11"/>
      <c r="G198" s="11"/>
      <c r="H198" s="30"/>
    </row>
    <row r="199" spans="1:8" s="33" customFormat="1" ht="12.75">
      <c r="A199" s="116"/>
      <c r="B199" s="11"/>
      <c r="C199" s="11"/>
      <c r="D199" s="11"/>
      <c r="E199" s="11"/>
      <c r="F199" s="11"/>
      <c r="G199" s="11"/>
      <c r="H199" s="30"/>
    </row>
    <row r="200" spans="1:8" s="33" customFormat="1" ht="12.75">
      <c r="A200" s="116"/>
      <c r="B200" s="11"/>
      <c r="C200" s="11"/>
      <c r="D200" s="11"/>
      <c r="E200" s="11"/>
      <c r="F200" s="11"/>
      <c r="G200" s="11"/>
      <c r="H200" s="30"/>
    </row>
    <row r="201" spans="1:8" s="33" customFormat="1" ht="12.75">
      <c r="A201" s="116"/>
      <c r="B201" s="11"/>
      <c r="C201" s="11"/>
      <c r="D201" s="11"/>
      <c r="E201" s="11"/>
      <c r="F201" s="11"/>
      <c r="G201" s="11"/>
      <c r="H201" s="30"/>
    </row>
    <row r="202" spans="1:8" s="33" customFormat="1" ht="12.75">
      <c r="A202" s="116"/>
      <c r="B202" s="11"/>
      <c r="C202" s="11"/>
      <c r="D202" s="11"/>
      <c r="E202" s="11"/>
      <c r="F202" s="11"/>
      <c r="G202" s="11"/>
      <c r="H202" s="30"/>
    </row>
    <row r="203" spans="1:8" s="33" customFormat="1" ht="12.75">
      <c r="A203" s="116"/>
      <c r="B203" s="11"/>
      <c r="C203" s="11"/>
      <c r="D203" s="11"/>
      <c r="E203" s="11"/>
      <c r="F203" s="11"/>
      <c r="G203" s="11"/>
      <c r="H203" s="30"/>
    </row>
    <row r="204" spans="1:8" s="33" customFormat="1" ht="12.75">
      <c r="A204" s="116"/>
      <c r="B204" s="11"/>
      <c r="C204" s="11"/>
      <c r="D204" s="11"/>
      <c r="E204" s="11"/>
      <c r="F204" s="11"/>
      <c r="G204" s="11"/>
      <c r="H204" s="30"/>
    </row>
    <row r="205" spans="1:8" s="33" customFormat="1" ht="12.75">
      <c r="A205" s="116"/>
      <c r="B205" s="11"/>
      <c r="C205" s="11"/>
      <c r="D205" s="11"/>
      <c r="E205" s="11"/>
      <c r="F205" s="11"/>
      <c r="G205" s="11"/>
      <c r="H205" s="30"/>
    </row>
    <row r="206" spans="1:8" s="1" customFormat="1" ht="18">
      <c r="A206" s="16" t="s">
        <v>260</v>
      </c>
      <c r="B206" s="10"/>
      <c r="C206" s="10"/>
      <c r="D206" s="10"/>
      <c r="E206" s="6"/>
      <c r="G206" s="10"/>
      <c r="H206" s="6"/>
    </row>
    <row r="207" spans="1:8" s="1" customFormat="1" ht="13.5" thickBot="1">
      <c r="A207" s="217"/>
      <c r="B207" s="10"/>
      <c r="C207" s="12"/>
      <c r="D207" s="12"/>
      <c r="E207" s="13"/>
      <c r="F207" s="13"/>
      <c r="G207" s="10"/>
      <c r="H207" s="6"/>
    </row>
    <row r="208" spans="1:8" s="23" customFormat="1" ht="53.25" customHeight="1">
      <c r="A208" s="227"/>
      <c r="B208" s="53" t="s">
        <v>435</v>
      </c>
      <c r="C208" s="546" t="s">
        <v>245</v>
      </c>
      <c r="D208" s="546" t="s">
        <v>201</v>
      </c>
      <c r="E208" s="610" t="s">
        <v>82</v>
      </c>
      <c r="H208" s="26"/>
    </row>
    <row r="209" spans="1:8" s="23" customFormat="1" ht="12.75">
      <c r="A209" s="228" t="s">
        <v>430</v>
      </c>
      <c r="B209" s="54" t="str">
        <f>'Wksht 1. Data Inputs'!B15</f>
        <v>potential 2003 waste comp</v>
      </c>
      <c r="C209" s="609"/>
      <c r="D209" s="609"/>
      <c r="E209" s="611"/>
      <c r="H209" s="26"/>
    </row>
    <row r="210" spans="1:8" s="23" customFormat="1" ht="12.75">
      <c r="A210" s="221" t="s">
        <v>373</v>
      </c>
      <c r="B210" s="42">
        <f aca="true" t="shared" si="3" ref="B210:B231">B15</f>
        <v>48844</v>
      </c>
      <c r="C210" s="42">
        <f>B210*VLOOKUP(A210,'Wksht 3. Conversion Factors'!$A$12:$F$46,3,FALSE)</f>
        <v>-180763.33774298092</v>
      </c>
      <c r="D210" s="42" t="e">
        <f>B210*((VLOOKUP(A210,'Wksht 3. Conversion Factors'!$A$12:$F$46,5,FALSE)*'Wksht 4. Calculations'!$B$15)+(VLOOKUP(A210,'Wksht 3. Conversion Factors'!$A$12:$F$46,6,FALSE)*'Wksht 4. Calculations'!$B$16))</f>
        <v>#DIV/0!</v>
      </c>
      <c r="E210" s="44" t="e">
        <f>C210-D210</f>
        <v>#DIV/0!</v>
      </c>
      <c r="G210" s="26"/>
      <c r="H210" s="26"/>
    </row>
    <row r="211" spans="1:8" s="23" customFormat="1" ht="12.75">
      <c r="A211" s="221" t="s">
        <v>374</v>
      </c>
      <c r="B211" s="42">
        <f t="shared" si="3"/>
        <v>102532</v>
      </c>
      <c r="C211" s="42">
        <f>B211*VLOOKUP(A211,'Wksht 3. Conversion Factors'!$A$12:$F$46,3,FALSE)</f>
        <v>-50166.11494503138</v>
      </c>
      <c r="D211" s="42" t="e">
        <f>B211*((VLOOKUP(A211,'Wksht 3. Conversion Factors'!$A$12:$F$46,5,FALSE)*'Wksht 4. Calculations'!$B$15)+(VLOOKUP(A211,'Wksht 3. Conversion Factors'!$A$12:$F$46,6,FALSE)*'Wksht 4. Calculations'!$B$16))</f>
        <v>#DIV/0!</v>
      </c>
      <c r="E211" s="44" t="e">
        <f aca="true" t="shared" si="4" ref="E211:E238">C211-D211</f>
        <v>#DIV/0!</v>
      </c>
      <c r="G211" s="26"/>
      <c r="H211" s="26"/>
    </row>
    <row r="212" spans="1:8" s="23" customFormat="1" ht="12.75">
      <c r="A212" s="221" t="s">
        <v>375</v>
      </c>
      <c r="B212" s="42">
        <f t="shared" si="3"/>
        <v>234629</v>
      </c>
      <c r="C212" s="42">
        <f>B212*VLOOKUP(A212,'Wksht 3. Conversion Factors'!$A$12:$F$46,3,FALSE)</f>
        <v>-17780.2347680106</v>
      </c>
      <c r="D212" s="42" t="e">
        <f>B212*((VLOOKUP(A212,'Wksht 3. Conversion Factors'!$A$12:$F$46,5,FALSE)*'Wksht 4. Calculations'!$B$15)+(VLOOKUP(A212,'Wksht 3. Conversion Factors'!$A$12:$F$46,6,FALSE)*'Wksht 4. Calculations'!$B$16))</f>
        <v>#DIV/0!</v>
      </c>
      <c r="E212" s="44" t="e">
        <f t="shared" si="4"/>
        <v>#DIV/0!</v>
      </c>
      <c r="G212" s="26"/>
      <c r="H212" s="26"/>
    </row>
    <row r="213" spans="1:8" s="23" customFormat="1" ht="12.75">
      <c r="A213" s="221" t="s">
        <v>376</v>
      </c>
      <c r="B213" s="42">
        <f t="shared" si="3"/>
        <v>68082</v>
      </c>
      <c r="C213" s="42">
        <f>B213*VLOOKUP(A213,'Wksht 3. Conversion Factors'!$A$12:$F$46,3,FALSE)</f>
        <v>-25847.509108280137</v>
      </c>
      <c r="D213" s="42" t="e">
        <f>B213*((VLOOKUP(A213,'Wksht 3. Conversion Factors'!$A$12:$F$46,5,FALSE)*'Wksht 4. Calculations'!$B$15)+(VLOOKUP(A213,'Wksht 3. Conversion Factors'!$A$12:$F$46,6,FALSE)*'Wksht 4. Calculations'!$B$16))</f>
        <v>#DIV/0!</v>
      </c>
      <c r="E213" s="44" t="e">
        <f t="shared" si="4"/>
        <v>#DIV/0!</v>
      </c>
      <c r="G213" s="26"/>
      <c r="H213" s="26"/>
    </row>
    <row r="214" spans="1:8" s="23" customFormat="1" ht="12.75">
      <c r="A214" s="221" t="s">
        <v>377</v>
      </c>
      <c r="B214" s="42">
        <f t="shared" si="3"/>
        <v>0</v>
      </c>
      <c r="C214" s="42">
        <f>B214*VLOOKUP(A214,'Wksht 3. Conversion Factors'!$A$12:$F$46,3,FALSE)</f>
        <v>0</v>
      </c>
      <c r="D214" s="42" t="e">
        <f>B214*((VLOOKUP(A214,'Wksht 3. Conversion Factors'!$A$12:$F$46,5,FALSE)*'Wksht 4. Calculations'!$B$15)+(VLOOKUP(A214,'Wksht 3. Conversion Factors'!$A$12:$F$46,6,FALSE)*'Wksht 4. Calculations'!$B$16))</f>
        <v>#DIV/0!</v>
      </c>
      <c r="E214" s="44" t="e">
        <f t="shared" si="4"/>
        <v>#DIV/0!</v>
      </c>
      <c r="G214" s="26"/>
      <c r="H214" s="26"/>
    </row>
    <row r="215" spans="1:8" s="23" customFormat="1" ht="12.75">
      <c r="A215" s="221" t="s">
        <v>378</v>
      </c>
      <c r="B215" s="42">
        <f t="shared" si="3"/>
        <v>87601</v>
      </c>
      <c r="C215" s="42">
        <f>B215*VLOOKUP(A215,'Wksht 3. Conversion Factors'!$A$12:$F$46,3,FALSE)</f>
        <v>-36743.093593781894</v>
      </c>
      <c r="D215" s="42" t="e">
        <f>B215*((VLOOKUP(A215,'Wksht 3. Conversion Factors'!$A$12:$F$46,5,FALSE)*'Wksht 4. Calculations'!$B$15)+(VLOOKUP(A215,'Wksht 3. Conversion Factors'!$A$12:$F$46,6,FALSE)*'Wksht 4. Calculations'!$B$16))</f>
        <v>#DIV/0!</v>
      </c>
      <c r="E215" s="44" t="e">
        <f t="shared" si="4"/>
        <v>#DIV/0!</v>
      </c>
      <c r="G215" s="26"/>
      <c r="H215" s="26"/>
    </row>
    <row r="216" spans="1:8" s="23" customFormat="1" ht="12.75">
      <c r="A216" s="221" t="s">
        <v>372</v>
      </c>
      <c r="B216" s="42">
        <f t="shared" si="3"/>
        <v>785032</v>
      </c>
      <c r="C216" s="42">
        <f>B216*VLOOKUP(A216,'Wksht 3. Conversion Factors'!$A$12:$F$46,3,FALSE)</f>
        <v>-666121.4788107349</v>
      </c>
      <c r="D216" s="42" t="e">
        <f>B216*((VLOOKUP(A216,'Wksht 3. Conversion Factors'!$A$12:$F$46,5,FALSE)*'Wksht 4. Calculations'!$B$15)+(VLOOKUP(A216,'Wksht 3. Conversion Factors'!$A$12:$F$46,6,FALSE)*'Wksht 4. Calculations'!$B$16))</f>
        <v>#DIV/0!</v>
      </c>
      <c r="E216" s="44" t="e">
        <f t="shared" si="4"/>
        <v>#DIV/0!</v>
      </c>
      <c r="G216" s="26"/>
      <c r="H216" s="26"/>
    </row>
    <row r="217" spans="1:8" s="23" customFormat="1" ht="12.75">
      <c r="A217" s="221" t="s">
        <v>476</v>
      </c>
      <c r="B217" s="42">
        <f t="shared" si="3"/>
        <v>251027</v>
      </c>
      <c r="C217" s="42">
        <f>B217*VLOOKUP(A217,'Wksht 3. Conversion Factors'!$A$12:$F$46,3,FALSE)</f>
        <v>-210208.23160398725</v>
      </c>
      <c r="D217" s="42" t="e">
        <f>B217*((VLOOKUP(A217,'Wksht 3. Conversion Factors'!$A$12:$F$46,5,FALSE)*'Wksht 4. Calculations'!$B$15)+(VLOOKUP(A217,'Wksht 3. Conversion Factors'!$A$12:$F$46,6,FALSE)*'Wksht 4. Calculations'!$B$16))</f>
        <v>#DIV/0!</v>
      </c>
      <c r="E217" s="44" t="e">
        <f t="shared" si="4"/>
        <v>#DIV/0!</v>
      </c>
      <c r="G217" s="26"/>
      <c r="H217" s="26"/>
    </row>
    <row r="218" spans="1:8" s="23" customFormat="1" ht="12.75">
      <c r="A218" s="221" t="s">
        <v>370</v>
      </c>
      <c r="B218" s="42">
        <f t="shared" si="3"/>
        <v>389263</v>
      </c>
      <c r="C218" s="42">
        <f>B218*VLOOKUP(A218,'Wksht 3. Conversion Factors'!$A$12:$F$46,3,FALSE)</f>
        <v>-296357.1655735557</v>
      </c>
      <c r="D218" s="42" t="e">
        <f>B218*((VLOOKUP(A218,'Wksht 3. Conversion Factors'!$A$12:$F$46,5,FALSE)*'Wksht 4. Calculations'!$B$15)+(VLOOKUP(A218,'Wksht 3. Conversion Factors'!$A$12:$F$46,6,FALSE)*'Wksht 4. Calculations'!$B$16))</f>
        <v>#DIV/0!</v>
      </c>
      <c r="E218" s="44" t="e">
        <f t="shared" si="4"/>
        <v>#DIV/0!</v>
      </c>
      <c r="G218" s="26"/>
      <c r="H218" s="26"/>
    </row>
    <row r="219" spans="1:8" s="23" customFormat="1" ht="12.75">
      <c r="A219" s="221" t="s">
        <v>371</v>
      </c>
      <c r="B219" s="42">
        <f t="shared" si="3"/>
        <v>341975</v>
      </c>
      <c r="C219" s="42">
        <f>B219*VLOOKUP(A219,'Wksht 3. Conversion Factors'!$A$12:$F$46,3,FALSE)</f>
        <v>-266029.27800457587</v>
      </c>
      <c r="D219" s="42" t="e">
        <f>B219*((VLOOKUP(A219,'Wksht 3. Conversion Factors'!$A$12:$F$46,5,FALSE)*'Wksht 4. Calculations'!$B$15)+(VLOOKUP(A219,'Wksht 3. Conversion Factors'!$A$12:$F$46,6,FALSE)*'Wksht 4. Calculations'!$B$16))</f>
        <v>#DIV/0!</v>
      </c>
      <c r="E219" s="44" t="e">
        <f t="shared" si="4"/>
        <v>#DIV/0!</v>
      </c>
      <c r="G219" s="26"/>
      <c r="H219" s="26"/>
    </row>
    <row r="220" spans="1:8" s="23" customFormat="1" ht="12.75">
      <c r="A220" s="221" t="s">
        <v>477</v>
      </c>
      <c r="B220" s="42">
        <f t="shared" si="3"/>
        <v>0</v>
      </c>
      <c r="C220" s="42">
        <f>B220*VLOOKUP(A220,'Wksht 3. Conversion Factors'!$A$12:$F$46,3,FALSE)</f>
        <v>0</v>
      </c>
      <c r="D220" s="42" t="e">
        <f>B220*((VLOOKUP(A220,'Wksht 3. Conversion Factors'!$A$12:$F$46,5,FALSE)*'Wksht 4. Calculations'!$B$15)+(VLOOKUP(A220,'Wksht 3. Conversion Factors'!$A$12:$F$46,6,FALSE)*'Wksht 4. Calculations'!$B$16))</f>
        <v>#DIV/0!</v>
      </c>
      <c r="E220" s="44" t="e">
        <f t="shared" si="4"/>
        <v>#DIV/0!</v>
      </c>
      <c r="G220" s="26"/>
      <c r="H220" s="26"/>
    </row>
    <row r="221" spans="1:8" s="23" customFormat="1" ht="12.75">
      <c r="A221" s="221" t="s">
        <v>478</v>
      </c>
      <c r="B221" s="42">
        <f t="shared" si="3"/>
        <v>0</v>
      </c>
      <c r="C221" s="42">
        <f>B221*VLOOKUP(A221,'Wksht 3. Conversion Factors'!$A$12:$F$46,3,FALSE)</f>
        <v>0</v>
      </c>
      <c r="D221" s="42" t="e">
        <f>B221*((VLOOKUP(A221,'Wksht 3. Conversion Factors'!$A$12:$F$46,5,FALSE)*'Wksht 4. Calculations'!$B$15)+(VLOOKUP(A221,'Wksht 3. Conversion Factors'!$A$12:$F$46,6,FALSE)*'Wksht 4. Calculations'!$B$16))</f>
        <v>#DIV/0!</v>
      </c>
      <c r="E221" s="44" t="e">
        <f t="shared" si="4"/>
        <v>#DIV/0!</v>
      </c>
      <c r="G221" s="26"/>
      <c r="H221" s="26"/>
    </row>
    <row r="222" spans="1:8" s="23" customFormat="1" ht="12.75">
      <c r="A222" s="221" t="s">
        <v>149</v>
      </c>
      <c r="B222" s="42">
        <f t="shared" si="3"/>
        <v>0</v>
      </c>
      <c r="C222" s="42">
        <f>B222*VLOOKUP(A222,'Wksht 3. Conversion Factors'!$A$12:$F$46,3,FALSE)</f>
        <v>0</v>
      </c>
      <c r="D222" s="42" t="e">
        <f>B222*((VLOOKUP(A222,'Wksht 3. Conversion Factors'!$A$12:$F$46,5,FALSE)*'Wksht 4. Calculations'!$B$15)+(VLOOKUP(A222,'Wksht 3. Conversion Factors'!$A$12:$F$46,6,FALSE)*'Wksht 4. Calculations'!$B$16))</f>
        <v>#DIV/0!</v>
      </c>
      <c r="E222" s="44" t="e">
        <f>C222-D222</f>
        <v>#DIV/0!</v>
      </c>
      <c r="G222" s="26"/>
      <c r="H222" s="26"/>
    </row>
    <row r="223" spans="1:8" s="23" customFormat="1" ht="12.75">
      <c r="A223" s="221" t="s">
        <v>379</v>
      </c>
      <c r="B223" s="42">
        <f t="shared" si="3"/>
        <v>0</v>
      </c>
      <c r="C223" s="42">
        <f>B223*VLOOKUP(A223,'Wksht 3. Conversion Factors'!$A$12:$F$46,4,FALSE)</f>
        <v>0</v>
      </c>
      <c r="D223" s="42" t="e">
        <f>B223*((VLOOKUP(A223,'Wksht 3. Conversion Factors'!$A$12:$F$46,5,FALSE)*'Wksht 4. Calculations'!$B$15)+(VLOOKUP(A223,'Wksht 3. Conversion Factors'!$A$12:$F$46,6,FALSE)*'Wksht 4. Calculations'!$B$16))</f>
        <v>#DIV/0!</v>
      </c>
      <c r="E223" s="44" t="e">
        <f t="shared" si="4"/>
        <v>#DIV/0!</v>
      </c>
      <c r="G223" s="26"/>
      <c r="H223" s="26"/>
    </row>
    <row r="224" spans="1:8" s="23" customFormat="1" ht="12.75">
      <c r="A224" s="221" t="s">
        <v>380</v>
      </c>
      <c r="B224" s="42">
        <f t="shared" si="3"/>
        <v>0</v>
      </c>
      <c r="C224" s="42">
        <f>B224*VLOOKUP(A224,'Wksht 3. Conversion Factors'!$A$12:$F$46,4,FALSE)</f>
        <v>0</v>
      </c>
      <c r="D224" s="42" t="e">
        <f>B224*((VLOOKUP(A224,'Wksht 3. Conversion Factors'!$A$12:$F$46,5,FALSE)*'Wksht 4. Calculations'!$B$15)+(VLOOKUP(A224,'Wksht 3. Conversion Factors'!$A$12:$F$46,6,FALSE)*'Wksht 4. Calculations'!$B$16))</f>
        <v>#DIV/0!</v>
      </c>
      <c r="E224" s="44" t="e">
        <f t="shared" si="4"/>
        <v>#DIV/0!</v>
      </c>
      <c r="G224" s="26"/>
      <c r="H224" s="26"/>
    </row>
    <row r="225" spans="1:8" s="23" customFormat="1" ht="12.75">
      <c r="A225" s="221" t="s">
        <v>408</v>
      </c>
      <c r="B225" s="42">
        <f t="shared" si="3"/>
        <v>0</v>
      </c>
      <c r="C225" s="42">
        <f>B225*VLOOKUP(A225,'Wksht 3. Conversion Factors'!$A$12:$F$46,4,FALSE)</f>
        <v>0</v>
      </c>
      <c r="D225" s="42" t="e">
        <f>B225*((VLOOKUP(A225,'Wksht 3. Conversion Factors'!$A$12:$F$46,5,FALSE)*'Wksht 4. Calculations'!$B$15)+(VLOOKUP(A225,'Wksht 3. Conversion Factors'!$A$12:$F$46,6,FALSE)*'Wksht 4. Calculations'!$B$16))</f>
        <v>#DIV/0!</v>
      </c>
      <c r="E225" s="44" t="e">
        <f t="shared" si="4"/>
        <v>#DIV/0!</v>
      </c>
      <c r="G225" s="26"/>
      <c r="H225" s="26"/>
    </row>
    <row r="226" spans="1:8" s="23" customFormat="1" ht="12.75">
      <c r="A226" s="221" t="s">
        <v>409</v>
      </c>
      <c r="B226" s="42">
        <f t="shared" si="3"/>
        <v>0</v>
      </c>
      <c r="C226" s="42">
        <f>B226*VLOOKUP(A226,'Wksht 3. Conversion Factors'!$A$12:$F$46,4,FALSE)</f>
        <v>0</v>
      </c>
      <c r="D226" s="42" t="e">
        <f>B226*((VLOOKUP(A226,'Wksht 3. Conversion Factors'!$A$12:$F$46,5,FALSE)*'Wksht 4. Calculations'!$B$15)+(VLOOKUP(A226,'Wksht 3. Conversion Factors'!$A$12:$F$46,6,FALSE)*'Wksht 4. Calculations'!$B$16))</f>
        <v>#DIV/0!</v>
      </c>
      <c r="E226" s="44" t="e">
        <f t="shared" si="4"/>
        <v>#DIV/0!</v>
      </c>
      <c r="G226" s="26"/>
      <c r="H226" s="26"/>
    </row>
    <row r="227" spans="1:8" s="23" customFormat="1" ht="12.75">
      <c r="A227" s="221" t="s">
        <v>410</v>
      </c>
      <c r="B227" s="42">
        <f t="shared" si="3"/>
        <v>0</v>
      </c>
      <c r="C227" s="42">
        <f>B227*VLOOKUP(A227,'Wksht 3. Conversion Factors'!$A$12:$F$46,4,FALSE)</f>
        <v>0</v>
      </c>
      <c r="D227" s="42" t="e">
        <f>B227*((VLOOKUP(A227,'Wksht 3. Conversion Factors'!$A$12:$F$46,5,FALSE)*'Wksht 4. Calculations'!$B$15)+(VLOOKUP(A227,'Wksht 3. Conversion Factors'!$A$12:$F$46,6,FALSE)*'Wksht 4. Calculations'!$B$16))</f>
        <v>#DIV/0!</v>
      </c>
      <c r="E227" s="44" t="e">
        <f t="shared" si="4"/>
        <v>#DIV/0!</v>
      </c>
      <c r="G227" s="26"/>
      <c r="H227" s="26"/>
    </row>
    <row r="228" spans="1:8" s="23" customFormat="1" ht="12.75">
      <c r="A228" s="221" t="s">
        <v>88</v>
      </c>
      <c r="B228" s="42">
        <f t="shared" si="3"/>
        <v>282131</v>
      </c>
      <c r="C228" s="42">
        <f>B228*VLOOKUP(A228,'Wksht 3. Conversion Factors'!$A$12:$F$46,3,FALSE)</f>
        <v>-138039.01392303524</v>
      </c>
      <c r="D228" s="42" t="e">
        <f>B228*((VLOOKUP(A228,'Wksht 3. Conversion Factors'!$A$12:$F$46,5,FALSE)*'Wksht 4. Calculations'!$B$15)+(VLOOKUP(A228,'Wksht 3. Conversion Factors'!$A$12:$F$46,6,FALSE)*'Wksht 4. Calculations'!$B$16))</f>
        <v>#DIV/0!</v>
      </c>
      <c r="E228" s="44" t="e">
        <f>C228-D228</f>
        <v>#DIV/0!</v>
      </c>
      <c r="G228" s="26"/>
      <c r="H228" s="26"/>
    </row>
    <row r="229" spans="1:8" s="23" customFormat="1" ht="12.75">
      <c r="A229" s="221" t="s">
        <v>322</v>
      </c>
      <c r="B229" s="42">
        <f t="shared" si="3"/>
        <v>43057</v>
      </c>
      <c r="C229" s="42">
        <f>B229*VLOOKUP(A229,'Wksht 3. Conversion Factors'!$A$12:$F$46,3,FALSE)</f>
        <v>-159346.63486200004</v>
      </c>
      <c r="D229" s="42" t="e">
        <f>B229*((VLOOKUP(A229,'Wksht 3. Conversion Factors'!$A$12:$F$46,5,FALSE)*'Wksht 4. Calculations'!$B$15)+(VLOOKUP(A229,'Wksht 3. Conversion Factors'!$A$12:$F$46,6,FALSE)*'Wksht 4. Calculations'!$B$16))</f>
        <v>#DIV/0!</v>
      </c>
      <c r="E229" s="44" t="e">
        <f>C229-D229</f>
        <v>#DIV/0!</v>
      </c>
      <c r="G229" s="26"/>
      <c r="H229" s="26"/>
    </row>
    <row r="230" spans="1:8" s="23" customFormat="1" ht="12.75">
      <c r="A230" s="221" t="s">
        <v>321</v>
      </c>
      <c r="B230" s="42">
        <f t="shared" si="3"/>
        <v>0</v>
      </c>
      <c r="C230" s="42">
        <f>B230*VLOOKUP(A230,'Wksht 3. Conversion Factors'!$A$12:$F$46,3,FALSE)</f>
        <v>0</v>
      </c>
      <c r="D230" s="42" t="e">
        <f>B230*((VLOOKUP(A230,'Wksht 3. Conversion Factors'!$A$12:$F$46,5,FALSE)*'Wksht 4. Calculations'!$B$15)+(VLOOKUP(A230,'Wksht 3. Conversion Factors'!$A$12:$F$46,6,FALSE)*'Wksht 4. Calculations'!$B$16))</f>
        <v>#DIV/0!</v>
      </c>
      <c r="E230" s="44" t="e">
        <f>C230-D230</f>
        <v>#DIV/0!</v>
      </c>
      <c r="G230" s="26"/>
      <c r="H230" s="26"/>
    </row>
    <row r="231" spans="1:5" ht="12.75">
      <c r="A231" s="436" t="s">
        <v>323</v>
      </c>
      <c r="B231" s="42">
        <f t="shared" si="3"/>
        <v>0</v>
      </c>
      <c r="C231" s="42">
        <f>B231*VLOOKUP(A231,'Wksht 3. Conversion Factors'!$A$12:$F$46,3,FALSE)</f>
        <v>0</v>
      </c>
      <c r="D231" s="42" t="e">
        <f>B231*((VLOOKUP(A231,'Wksht 3. Conversion Factors'!$A$12:$F$46,5,FALSE)*'Wksht 4. Calculations'!$B$15)+(VLOOKUP(A231,'Wksht 3. Conversion Factors'!$A$12:$F$46,6,FALSE)*'Wksht 4. Calculations'!$B$16))</f>
        <v>#DIV/0!</v>
      </c>
      <c r="E231" s="44" t="e">
        <f>C231-D231</f>
        <v>#DIV/0!</v>
      </c>
    </row>
    <row r="232" spans="1:8" s="23" customFormat="1" ht="12.75">
      <c r="A232" s="221" t="s">
        <v>86</v>
      </c>
      <c r="B232" s="42">
        <f aca="true" t="shared" si="5" ref="B232:B244">B37</f>
        <v>0</v>
      </c>
      <c r="C232" s="42" t="s">
        <v>404</v>
      </c>
      <c r="D232" s="42" t="s">
        <v>404</v>
      </c>
      <c r="E232" s="44" t="s">
        <v>404</v>
      </c>
      <c r="G232" s="26"/>
      <c r="H232" s="26"/>
    </row>
    <row r="233" spans="1:8" s="23" customFormat="1" ht="12.75">
      <c r="A233" s="222" t="s">
        <v>393</v>
      </c>
      <c r="B233" s="42">
        <f t="shared" si="5"/>
        <v>0</v>
      </c>
      <c r="C233" s="42">
        <f>B233*VLOOKUP(A233,'Wksht 3. Conversion Factors'!$A$12:$F$46,3,FALSE)</f>
        <v>0</v>
      </c>
      <c r="D233" s="42" t="e">
        <f>B233*((VLOOKUP(A233,'Wksht 3. Conversion Factors'!$A$12:$F$46,5,FALSE)*'Wksht 4. Calculations'!$B$15)+(VLOOKUP(A233,'Wksht 3. Conversion Factors'!$A$12:$F$46,6,FALSE)*'Wksht 4. Calculations'!$B$16))</f>
        <v>#DIV/0!</v>
      </c>
      <c r="E233" s="44" t="e">
        <f t="shared" si="4"/>
        <v>#DIV/0!</v>
      </c>
      <c r="G233" s="26"/>
      <c r="H233" s="26"/>
    </row>
    <row r="234" spans="1:8" s="23" customFormat="1" ht="12.75">
      <c r="A234" s="221" t="s">
        <v>407</v>
      </c>
      <c r="B234" s="42">
        <f t="shared" si="5"/>
        <v>0</v>
      </c>
      <c r="C234" s="42">
        <f>B234*VLOOKUP(A234,'Wksht 3. Conversion Factors'!$A$12:$F$46,3,FALSE)</f>
        <v>0</v>
      </c>
      <c r="D234" s="42" t="e">
        <f>B234*((VLOOKUP(A234,'Wksht 3. Conversion Factors'!$A$12:$F$46,5,FALSE)*'Wksht 4. Calculations'!$B$15)+(VLOOKUP(A234,'Wksht 3. Conversion Factors'!$A$12:$F$46,6,FALSE)*'Wksht 4. Calculations'!$B$16))</f>
        <v>#DIV/0!</v>
      </c>
      <c r="E234" s="44" t="e">
        <f>C234-D234</f>
        <v>#DIV/0!</v>
      </c>
      <c r="G234" s="26"/>
      <c r="H234" s="26"/>
    </row>
    <row r="235" spans="1:8" s="23" customFormat="1" ht="12.75">
      <c r="A235" s="221" t="s">
        <v>68</v>
      </c>
      <c r="B235" s="42">
        <f t="shared" si="5"/>
        <v>0</v>
      </c>
      <c r="C235" s="42">
        <f>B235*VLOOKUP(A235,'Wksht 3. Conversion Factors'!$A$12:$F$46,3,FALSE)</f>
        <v>0</v>
      </c>
      <c r="D235" s="42" t="e">
        <f>B235*((VLOOKUP(A235,'Wksht 3. Conversion Factors'!$A$12:$F$46,5,FALSE)*'Wksht 4. Calculations'!$B$15)+(VLOOKUP(A235,'Wksht 3. Conversion Factors'!$A$12:$F$46,6,FALSE)*'Wksht 4. Calculations'!$B$16))</f>
        <v>#DIV/0!</v>
      </c>
      <c r="E235" s="44" t="e">
        <f>C235-D235</f>
        <v>#DIV/0!</v>
      </c>
      <c r="G235" s="26"/>
      <c r="H235" s="26"/>
    </row>
    <row r="236" spans="1:8" s="23" customFormat="1" ht="12.75">
      <c r="A236" s="222" t="s">
        <v>144</v>
      </c>
      <c r="B236" s="42">
        <f t="shared" si="5"/>
        <v>0</v>
      </c>
      <c r="C236" s="42" t="s">
        <v>404</v>
      </c>
      <c r="D236" s="42" t="s">
        <v>404</v>
      </c>
      <c r="E236" s="44" t="s">
        <v>404</v>
      </c>
      <c r="G236" s="26"/>
      <c r="H236" s="26"/>
    </row>
    <row r="237" spans="1:8" s="23" customFormat="1" ht="12.75">
      <c r="A237" s="222" t="s">
        <v>145</v>
      </c>
      <c r="B237" s="42">
        <f t="shared" si="5"/>
        <v>0</v>
      </c>
      <c r="C237" s="42">
        <f>B237*VLOOKUP(A237,'Wksht 3. Conversion Factors'!$A$12:$F$46,3,FALSE)</f>
        <v>0</v>
      </c>
      <c r="D237" s="42" t="e">
        <f>B237*(IF(ISERROR(VLOOKUP(A237,'Wksht 3. Conversion Factors'!$A$12:$F$46,5,FALSE)*'Wksht 4. Calculations'!$B$15),0,(VLOOKUP(A237,'Wksht 3. Conversion Factors'!$A$12:$F$46,5,FALSE)*'Wksht 4. Calculations'!$B$15))+(VLOOKUP(A237,'Wksht 3. Conversion Factors'!$A$12:$F$46,6,FALSE)*'Wksht 4. Calculations'!$B$16))</f>
        <v>#DIV/0!</v>
      </c>
      <c r="E237" s="44" t="e">
        <f t="shared" si="4"/>
        <v>#DIV/0!</v>
      </c>
      <c r="G237" s="26"/>
      <c r="H237" s="26"/>
    </row>
    <row r="238" spans="1:8" s="23" customFormat="1" ht="12.75">
      <c r="A238" s="222" t="s">
        <v>146</v>
      </c>
      <c r="B238" s="42">
        <f t="shared" si="5"/>
        <v>0</v>
      </c>
      <c r="C238" s="42">
        <f>B238*VLOOKUP(A238,'Wksht 3. Conversion Factors'!$A$12:$F$46,3,FALSE)</f>
        <v>0</v>
      </c>
      <c r="D238" s="42" t="e">
        <f>B238*(IF(ISERROR(VLOOKUP(A238,'Wksht 3. Conversion Factors'!$A$12:$F$46,5,FALSE)*'Wksht 4. Calculations'!$B$15),0,(VLOOKUP(A238,'Wksht 3. Conversion Factors'!$A$12:$F$46,5,FALSE)*'Wksht 4. Calculations'!$B$15))+(VLOOKUP(A238,'Wksht 3. Conversion Factors'!$A$12:$F$46,6,FALSE)*'Wksht 4. Calculations'!$B$16))</f>
        <v>#DIV/0!</v>
      </c>
      <c r="E238" s="44" t="e">
        <f t="shared" si="4"/>
        <v>#DIV/0!</v>
      </c>
      <c r="G238" s="26"/>
      <c r="H238" s="26"/>
    </row>
    <row r="239" spans="1:8" s="23" customFormat="1" ht="12.75">
      <c r="A239" s="221" t="s">
        <v>85</v>
      </c>
      <c r="B239" s="42">
        <f t="shared" si="5"/>
        <v>433821</v>
      </c>
      <c r="C239" s="42">
        <f>B239*VLOOKUP(A239,'Wksht 3. Conversion Factors'!$A$12:$F$46,3,FALSE)</f>
        <v>-418472.6444471452</v>
      </c>
      <c r="D239" s="42" t="e">
        <f>B239*((VLOOKUP(A239,'Wksht 3. Conversion Factors'!$A$12:$F$46,5,FALSE)*'Wksht 4. Calculations'!$B$15)+(VLOOKUP(A239,'Wksht 3. Conversion Factors'!$A$12:$F$46,6,FALSE)*'Wksht 4. Calculations'!$B$16))</f>
        <v>#DIV/0!</v>
      </c>
      <c r="E239" s="44" t="e">
        <f>C239-D239</f>
        <v>#DIV/0!</v>
      </c>
      <c r="G239" s="26"/>
      <c r="H239" s="26"/>
    </row>
    <row r="240" spans="1:8" s="23" customFormat="1" ht="12.75">
      <c r="A240" s="221" t="s">
        <v>479</v>
      </c>
      <c r="B240" s="42">
        <f t="shared" si="5"/>
        <v>32138</v>
      </c>
      <c r="C240" s="42">
        <f>B240*VLOOKUP(A240,'Wksht 3. Conversion Factors'!$A$12:$F$46,3,FALSE)</f>
        <v>-46081.020016812094</v>
      </c>
      <c r="D240" s="42" t="e">
        <f>B240*((VLOOKUP(A240,'Wksht 3. Conversion Factors'!$A$12:$F$46,5,FALSE)*'Wksht 4. Calculations'!$B$15)+(VLOOKUP(A240,'Wksht 3. Conversion Factors'!$A$12:$F$46,6,FALSE)*'Wksht 4. Calculations'!$B$16))</f>
        <v>#DIV/0!</v>
      </c>
      <c r="E240" s="44" t="e">
        <f>C240-D240</f>
        <v>#DIV/0!</v>
      </c>
      <c r="G240" s="26"/>
      <c r="H240" s="26"/>
    </row>
    <row r="241" spans="1:8" s="23" customFormat="1" ht="12.75">
      <c r="A241" s="221" t="s">
        <v>480</v>
      </c>
      <c r="B241" s="42">
        <f t="shared" si="5"/>
        <v>906653</v>
      </c>
      <c r="C241" s="42">
        <f>B241*VLOOKUP(A241,'Wksht 3. Conversion Factors'!$A$12:$F$46,3,FALSE)</f>
        <v>-369456.6077144982</v>
      </c>
      <c r="D241" s="42" t="e">
        <f>B241*((VLOOKUP(A241,'Wksht 3. Conversion Factors'!$A$12:$F$46,5,FALSE)*'Wksht 4. Calculations'!$B$15)+(VLOOKUP(A241,'Wksht 3. Conversion Factors'!$A$12:$F$46,6,FALSE)*'Wksht 4. Calculations'!$B$16))</f>
        <v>#DIV/0!</v>
      </c>
      <c r="E241" s="44" t="e">
        <f>C241-D241</f>
        <v>#DIV/0!</v>
      </c>
      <c r="G241" s="26"/>
      <c r="H241" s="26"/>
    </row>
    <row r="242" spans="1:8" s="23" customFormat="1" ht="12.75">
      <c r="A242" s="221" t="s">
        <v>389</v>
      </c>
      <c r="B242" s="42">
        <f t="shared" si="5"/>
        <v>0</v>
      </c>
      <c r="C242" s="42">
        <f>B242*VLOOKUP(A242,'Wksht 3. Conversion Factors'!$A$12:$F$46,3,FALSE)</f>
        <v>0</v>
      </c>
      <c r="D242" s="42" t="e">
        <f>B242*((VLOOKUP(A242,'Wksht 3. Conversion Factors'!$A$12:$F$46,5,FALSE)*'Wksht 4. Calculations'!$B$15)+(VLOOKUP(A242,'Wksht 3. Conversion Factors'!$A$12:$F$46,6,FALSE)*'Wksht 4. Calculations'!$B$16))</f>
        <v>#DIV/0!</v>
      </c>
      <c r="E242" s="44" t="e">
        <f>C242-D242</f>
        <v>#DIV/0!</v>
      </c>
      <c r="G242" s="26"/>
      <c r="H242" s="26"/>
    </row>
    <row r="243" spans="1:8" s="23" customFormat="1" ht="12.75">
      <c r="A243" s="221" t="s">
        <v>481</v>
      </c>
      <c r="B243" s="42">
        <f t="shared" si="5"/>
        <v>0</v>
      </c>
      <c r="C243" s="42">
        <f>B243*VLOOKUP(A243,'Wksht 3. Conversion Factors'!$A$12:$F$46,4,FALSE)</f>
        <v>0</v>
      </c>
      <c r="D243" s="42" t="e">
        <f>B243*((VLOOKUP(A243,'Wksht 3. Conversion Factors'!$A$12:$F$46,5,FALSE)*'Wksht 4. Calculations'!$B$15)+(VLOOKUP(A243,'Wksht 3. Conversion Factors'!$A$12:$F$46,6,FALSE)*'Wksht 4. Calculations'!$B$16))</f>
        <v>#DIV/0!</v>
      </c>
      <c r="E243" s="44" t="e">
        <f>C243-D243</f>
        <v>#DIV/0!</v>
      </c>
      <c r="G243" s="26"/>
      <c r="H243" s="26"/>
    </row>
    <row r="244" spans="1:8" s="23" customFormat="1" ht="12.75">
      <c r="A244" s="221" t="s">
        <v>87</v>
      </c>
      <c r="B244" s="42">
        <f t="shared" si="5"/>
        <v>0</v>
      </c>
      <c r="C244" s="42" t="s">
        <v>404</v>
      </c>
      <c r="D244" s="42" t="s">
        <v>404</v>
      </c>
      <c r="E244" s="44" t="s">
        <v>404</v>
      </c>
      <c r="G244" s="26"/>
      <c r="H244" s="26"/>
    </row>
    <row r="245" spans="1:8" s="23" customFormat="1" ht="12.75">
      <c r="A245" s="221" t="s">
        <v>337</v>
      </c>
      <c r="B245" s="486">
        <f>SUM(B210:B244)</f>
        <v>4006785</v>
      </c>
      <c r="C245" s="486">
        <f>SUM(C210:C244)</f>
        <v>-2881412.36511443</v>
      </c>
      <c r="D245" s="486" t="e">
        <f>SUM(D210:D244)</f>
        <v>#DIV/0!</v>
      </c>
      <c r="E245" s="488" t="e">
        <f>C245-D245</f>
        <v>#DIV/0!</v>
      </c>
      <c r="G245" s="30"/>
      <c r="H245" s="30"/>
    </row>
    <row r="246" spans="1:8" s="23" customFormat="1" ht="12.75">
      <c r="A246" s="489"/>
      <c r="B246" s="487"/>
      <c r="C246" s="487"/>
      <c r="D246" s="487"/>
      <c r="E246" s="490"/>
      <c r="G246" s="30"/>
      <c r="H246" s="30"/>
    </row>
    <row r="247" spans="1:8" s="23" customFormat="1" ht="28.5" customHeight="1" thickBot="1">
      <c r="A247" s="492" t="s">
        <v>423</v>
      </c>
      <c r="B247" s="496">
        <f>B144+B245</f>
        <v>4006785</v>
      </c>
      <c r="C247" s="496">
        <f>C144+C245</f>
        <v>-2881412.36511443</v>
      </c>
      <c r="D247" s="496" t="e">
        <f>D144+D245</f>
        <v>#DIV/0!</v>
      </c>
      <c r="E247" s="496" t="e">
        <f>E144+E245</f>
        <v>#DIV/0!</v>
      </c>
      <c r="G247" s="30"/>
      <c r="H247" s="30"/>
    </row>
    <row r="248" spans="2:8" s="23" customFormat="1" ht="12.75">
      <c r="B248" s="91"/>
      <c r="C248" s="91"/>
      <c r="D248" s="91"/>
      <c r="E248" s="91"/>
      <c r="G248" s="27"/>
      <c r="H248" s="27"/>
    </row>
    <row r="249" spans="1:8" s="8" customFormat="1" ht="12.75">
      <c r="A249" s="224" t="s">
        <v>438</v>
      </c>
      <c r="B249" s="26"/>
      <c r="C249" s="26"/>
      <c r="D249" s="33"/>
      <c r="E249" s="30"/>
      <c r="F249" s="27"/>
      <c r="G249" s="27"/>
      <c r="H249" s="27"/>
    </row>
    <row r="250" spans="1:8" s="8" customFormat="1" ht="12.75">
      <c r="A250" s="107" t="s">
        <v>339</v>
      </c>
      <c r="B250" s="26"/>
      <c r="C250" s="26"/>
      <c r="D250" s="33"/>
      <c r="E250" s="30"/>
      <c r="F250" s="27"/>
      <c r="G250" s="27"/>
      <c r="H250" s="27"/>
    </row>
    <row r="251" spans="1:8" s="8" customFormat="1" ht="12.75">
      <c r="A251" s="107" t="str">
        <f>'Wksht 1. Data Inputs'!B14</f>
        <v>PA Department of Environmental Protection</v>
      </c>
      <c r="C251" s="33"/>
      <c r="D251" s="33"/>
      <c r="E251" s="30"/>
      <c r="F251" s="27"/>
      <c r="G251" s="27"/>
      <c r="H251" s="27"/>
    </row>
    <row r="252" spans="1:8" s="33" customFormat="1" ht="12.75">
      <c r="A252" s="231" t="str">
        <f>'Wksht 3. Conversion Factors'!B47</f>
        <v>U.S. EPA. "WARM Online, Version 8." (June 2006). 26 June 06 http://yosemite.epa.gov/oar/globalwarming.nsf/WARM.</v>
      </c>
      <c r="E252" s="30"/>
      <c r="F252" s="27"/>
      <c r="G252" s="27"/>
      <c r="H252" s="27"/>
    </row>
    <row r="253" spans="1:8" s="33" customFormat="1" ht="27.75" customHeight="1">
      <c r="A253" s="612" t="str">
        <f>'Wksht 3. Conversion Factors'!B48</f>
        <v>U.S. EPA. "Solid Waste Management and Greenhouse Gases: A Life-Cycle Assessment of Emissions and Sinks. 2nd edition." EPA 530-R-02-006. 11 Nov 2005 http://www.epa.gov/epaoswer/non-hw/muncpl/ghg/ghg.htm. </v>
      </c>
      <c r="B253" s="571"/>
      <c r="C253" s="571"/>
      <c r="D253" s="571"/>
      <c r="E253" s="571"/>
      <c r="F253" s="571"/>
      <c r="G253" s="571"/>
      <c r="H253" s="571"/>
    </row>
    <row r="254" spans="1:8" s="33" customFormat="1" ht="12.75">
      <c r="A254" s="36"/>
      <c r="B254" s="126"/>
      <c r="C254" s="116"/>
      <c r="D254" s="116"/>
      <c r="E254" s="116"/>
      <c r="F254" s="116"/>
      <c r="G254" s="116"/>
      <c r="H254" s="116"/>
    </row>
    <row r="255" spans="1:8" s="33" customFormat="1" ht="18">
      <c r="A255" s="16" t="s">
        <v>21</v>
      </c>
      <c r="B255" s="126"/>
      <c r="C255" s="116"/>
      <c r="D255" s="116"/>
      <c r="E255" s="116"/>
      <c r="F255" s="116"/>
      <c r="G255" s="116"/>
      <c r="H255" s="116"/>
    </row>
    <row r="256" spans="1:8" s="33" customFormat="1" ht="12.75">
      <c r="A256" s="36"/>
      <c r="B256" s="126"/>
      <c r="C256" s="116"/>
      <c r="D256" s="116"/>
      <c r="E256" s="116"/>
      <c r="F256" s="116"/>
      <c r="G256" s="116"/>
      <c r="H256" s="116"/>
    </row>
    <row r="257" spans="1:8" s="33" customFormat="1" ht="12.75">
      <c r="A257" s="36"/>
      <c r="B257" s="126"/>
      <c r="C257" s="116"/>
      <c r="D257" s="116"/>
      <c r="E257" s="116"/>
      <c r="F257" s="116"/>
      <c r="G257" s="116"/>
      <c r="H257" s="116"/>
    </row>
    <row r="258" spans="1:8" s="33" customFormat="1" ht="12.75">
      <c r="A258" s="36"/>
      <c r="B258" s="126"/>
      <c r="C258" s="116"/>
      <c r="D258" s="116"/>
      <c r="E258" s="116"/>
      <c r="F258" s="116"/>
      <c r="G258" s="116"/>
      <c r="H258" s="116"/>
    </row>
    <row r="259" spans="1:8" s="33" customFormat="1" ht="12.75">
      <c r="A259" s="36"/>
      <c r="B259" s="126"/>
      <c r="C259" s="116"/>
      <c r="D259" s="116"/>
      <c r="E259" s="116"/>
      <c r="F259" s="116"/>
      <c r="G259" s="116"/>
      <c r="H259" s="116"/>
    </row>
    <row r="260" spans="1:8" s="33" customFormat="1" ht="12.75">
      <c r="A260" s="36"/>
      <c r="B260" s="126"/>
      <c r="C260" s="116"/>
      <c r="D260" s="116"/>
      <c r="E260" s="116"/>
      <c r="F260" s="116"/>
      <c r="G260" s="116"/>
      <c r="H260" s="116"/>
    </row>
    <row r="261" spans="1:8" s="33" customFormat="1" ht="12.75">
      <c r="A261" s="36"/>
      <c r="B261" s="126"/>
      <c r="C261" s="116"/>
      <c r="D261" s="116"/>
      <c r="E261" s="116"/>
      <c r="F261" s="116"/>
      <c r="G261" s="116"/>
      <c r="H261" s="116"/>
    </row>
    <row r="262" spans="1:8" s="33" customFormat="1" ht="12.75">
      <c r="A262" s="36"/>
      <c r="B262" s="126"/>
      <c r="C262" s="116"/>
      <c r="D262" s="116"/>
      <c r="E262" s="116"/>
      <c r="F262" s="116"/>
      <c r="G262" s="116"/>
      <c r="H262" s="116"/>
    </row>
    <row r="263" spans="1:8" s="33" customFormat="1" ht="12.75">
      <c r="A263" s="36"/>
      <c r="B263" s="126"/>
      <c r="C263" s="116"/>
      <c r="D263" s="116"/>
      <c r="E263" s="116"/>
      <c r="F263" s="116"/>
      <c r="G263" s="116"/>
      <c r="H263" s="116"/>
    </row>
    <row r="264" spans="1:8" s="33" customFormat="1" ht="12.75">
      <c r="A264" s="36"/>
      <c r="B264" s="126"/>
      <c r="C264" s="116"/>
      <c r="D264" s="116"/>
      <c r="E264" s="116"/>
      <c r="F264" s="116"/>
      <c r="G264" s="116"/>
      <c r="H264" s="116"/>
    </row>
    <row r="265" spans="1:8" s="33" customFormat="1" ht="12.75">
      <c r="A265" s="36"/>
      <c r="B265" s="126"/>
      <c r="C265" s="116"/>
      <c r="D265" s="116"/>
      <c r="E265" s="116"/>
      <c r="F265" s="116"/>
      <c r="G265" s="116"/>
      <c r="H265" s="116"/>
    </row>
    <row r="266" spans="1:8" s="33" customFormat="1" ht="12.75">
      <c r="A266" s="36"/>
      <c r="B266" s="126"/>
      <c r="C266" s="116"/>
      <c r="D266" s="116"/>
      <c r="E266" s="116"/>
      <c r="F266" s="116"/>
      <c r="G266" s="116"/>
      <c r="H266" s="116"/>
    </row>
    <row r="267" spans="1:8" s="33" customFormat="1" ht="12.75">
      <c r="A267" s="36"/>
      <c r="B267" s="126"/>
      <c r="C267" s="116"/>
      <c r="D267" s="116"/>
      <c r="E267" s="116"/>
      <c r="F267" s="116"/>
      <c r="G267" s="116"/>
      <c r="H267" s="116"/>
    </row>
    <row r="268" spans="1:8" s="33" customFormat="1" ht="12.75">
      <c r="A268" s="36"/>
      <c r="B268" s="126"/>
      <c r="C268" s="116"/>
      <c r="D268" s="116"/>
      <c r="E268" s="116"/>
      <c r="F268" s="116"/>
      <c r="G268" s="116"/>
      <c r="H268" s="116"/>
    </row>
    <row r="269" spans="1:8" s="33" customFormat="1" ht="12.75">
      <c r="A269" s="36"/>
      <c r="B269" s="126"/>
      <c r="C269" s="116"/>
      <c r="D269" s="116"/>
      <c r="E269" s="116"/>
      <c r="F269" s="116"/>
      <c r="G269" s="116"/>
      <c r="H269" s="116"/>
    </row>
    <row r="270" spans="1:8" s="33" customFormat="1" ht="12.75">
      <c r="A270" s="36"/>
      <c r="B270" s="126"/>
      <c r="C270" s="116"/>
      <c r="D270" s="116"/>
      <c r="E270" s="116"/>
      <c r="F270" s="116"/>
      <c r="G270" s="116"/>
      <c r="H270" s="116"/>
    </row>
    <row r="271" spans="1:8" s="33" customFormat="1" ht="12.75">
      <c r="A271" s="36"/>
      <c r="B271" s="126"/>
      <c r="C271" s="116"/>
      <c r="D271" s="116"/>
      <c r="E271" s="116"/>
      <c r="F271" s="116"/>
      <c r="G271" s="116"/>
      <c r="H271" s="116"/>
    </row>
    <row r="272" spans="1:8" s="33" customFormat="1" ht="12.75">
      <c r="A272" s="36"/>
      <c r="B272" s="126"/>
      <c r="C272" s="116"/>
      <c r="D272" s="116"/>
      <c r="E272" s="116"/>
      <c r="F272" s="116"/>
      <c r="G272" s="116"/>
      <c r="H272" s="116"/>
    </row>
    <row r="273" spans="1:8" s="33" customFormat="1" ht="12.75">
      <c r="A273" s="36"/>
      <c r="B273" s="126"/>
      <c r="C273" s="116"/>
      <c r="D273" s="116"/>
      <c r="E273" s="116"/>
      <c r="F273" s="116"/>
      <c r="G273" s="116"/>
      <c r="H273" s="116"/>
    </row>
    <row r="274" spans="1:8" s="33" customFormat="1" ht="12.75">
      <c r="A274" s="36"/>
      <c r="B274" s="126"/>
      <c r="C274" s="116"/>
      <c r="D274" s="116"/>
      <c r="E274" s="116"/>
      <c r="F274" s="116"/>
      <c r="G274" s="116"/>
      <c r="H274" s="116"/>
    </row>
    <row r="275" spans="1:8" s="33" customFormat="1" ht="12.75">
      <c r="A275" s="36"/>
      <c r="B275" s="126"/>
      <c r="C275" s="116"/>
      <c r="D275" s="116"/>
      <c r="E275" s="116"/>
      <c r="F275" s="116"/>
      <c r="G275" s="116"/>
      <c r="H275" s="116"/>
    </row>
    <row r="276" spans="1:8" s="33" customFormat="1" ht="12.75">
      <c r="A276" s="36"/>
      <c r="B276" s="126"/>
      <c r="C276" s="116"/>
      <c r="D276" s="116"/>
      <c r="E276" s="116"/>
      <c r="F276" s="116"/>
      <c r="G276" s="116"/>
      <c r="H276" s="116"/>
    </row>
    <row r="277" spans="1:8" s="33" customFormat="1" ht="12.75">
      <c r="A277" s="36"/>
      <c r="B277" s="126"/>
      <c r="C277" s="116"/>
      <c r="D277" s="116"/>
      <c r="E277" s="116"/>
      <c r="F277" s="116"/>
      <c r="G277" s="116"/>
      <c r="H277" s="116"/>
    </row>
    <row r="278" spans="1:8" s="33" customFormat="1" ht="12.75">
      <c r="A278" s="36"/>
      <c r="B278" s="126"/>
      <c r="C278" s="116"/>
      <c r="D278" s="116"/>
      <c r="E278" s="116"/>
      <c r="F278" s="116"/>
      <c r="G278" s="116"/>
      <c r="H278" s="116"/>
    </row>
    <row r="279" spans="1:8" s="33" customFormat="1" ht="12.75">
      <c r="A279" s="36"/>
      <c r="B279" s="126"/>
      <c r="C279" s="116"/>
      <c r="D279" s="116"/>
      <c r="E279" s="116"/>
      <c r="F279" s="116"/>
      <c r="G279" s="116"/>
      <c r="H279" s="116"/>
    </row>
    <row r="280" spans="1:8" s="33" customFormat="1" ht="12.75">
      <c r="A280" s="36"/>
      <c r="B280" s="126"/>
      <c r="C280" s="116"/>
      <c r="D280" s="116"/>
      <c r="E280" s="116"/>
      <c r="F280" s="116"/>
      <c r="G280" s="116"/>
      <c r="H280" s="116"/>
    </row>
    <row r="281" spans="1:8" s="33" customFormat="1" ht="12.75">
      <c r="A281" s="36"/>
      <c r="B281" s="126"/>
      <c r="C281" s="116"/>
      <c r="D281" s="116"/>
      <c r="E281" s="116"/>
      <c r="F281" s="116"/>
      <c r="G281" s="116"/>
      <c r="H281" s="116"/>
    </row>
    <row r="282" spans="1:8" s="33" customFormat="1" ht="12.75">
      <c r="A282" s="36"/>
      <c r="B282" s="126"/>
      <c r="C282" s="116"/>
      <c r="D282" s="116"/>
      <c r="E282" s="116"/>
      <c r="F282" s="116"/>
      <c r="G282" s="116"/>
      <c r="H282" s="116"/>
    </row>
    <row r="283" spans="1:8" s="33" customFormat="1" ht="12.75">
      <c r="A283" s="36"/>
      <c r="B283" s="126"/>
      <c r="C283" s="116"/>
      <c r="D283" s="116"/>
      <c r="E283" s="116"/>
      <c r="F283" s="116"/>
      <c r="G283" s="116"/>
      <c r="H283" s="116"/>
    </row>
    <row r="284" spans="1:8" s="33" customFormat="1" ht="12.75">
      <c r="A284" s="36"/>
      <c r="B284" s="126"/>
      <c r="C284" s="116"/>
      <c r="D284" s="116"/>
      <c r="E284" s="116"/>
      <c r="F284" s="116"/>
      <c r="G284" s="116"/>
      <c r="H284" s="116"/>
    </row>
    <row r="285" spans="1:8" s="33" customFormat="1" ht="12.75">
      <c r="A285" s="36"/>
      <c r="B285" s="126"/>
      <c r="C285" s="116"/>
      <c r="D285" s="116"/>
      <c r="E285" s="116"/>
      <c r="F285" s="116"/>
      <c r="G285" s="116"/>
      <c r="H285" s="116"/>
    </row>
    <row r="286" spans="1:8" s="33" customFormat="1" ht="12.75">
      <c r="A286" s="36"/>
      <c r="B286" s="126"/>
      <c r="C286" s="116"/>
      <c r="D286" s="116"/>
      <c r="E286" s="116"/>
      <c r="F286" s="116"/>
      <c r="G286" s="116"/>
      <c r="H286" s="116"/>
    </row>
    <row r="287" spans="1:8" s="33" customFormat="1" ht="12.75">
      <c r="A287" s="36"/>
      <c r="B287" s="126"/>
      <c r="C287" s="116"/>
      <c r="D287" s="116"/>
      <c r="E287" s="116"/>
      <c r="F287" s="116"/>
      <c r="G287" s="116"/>
      <c r="H287" s="116"/>
    </row>
    <row r="288" spans="1:8" s="33" customFormat="1" ht="12.75">
      <c r="A288" s="36"/>
      <c r="B288" s="126"/>
      <c r="C288" s="116"/>
      <c r="D288" s="116"/>
      <c r="E288" s="116"/>
      <c r="F288" s="116"/>
      <c r="G288" s="116"/>
      <c r="H288" s="116"/>
    </row>
    <row r="289" spans="1:8" s="33" customFormat="1" ht="12.75">
      <c r="A289" s="36"/>
      <c r="B289" s="126"/>
      <c r="C289" s="116"/>
      <c r="D289" s="116"/>
      <c r="E289" s="116"/>
      <c r="F289" s="116"/>
      <c r="G289" s="116"/>
      <c r="H289" s="116"/>
    </row>
    <row r="290" spans="1:8" s="33" customFormat="1" ht="12.75">
      <c r="A290" s="36"/>
      <c r="B290" s="126"/>
      <c r="C290" s="116"/>
      <c r="D290" s="116"/>
      <c r="E290" s="116"/>
      <c r="F290" s="116"/>
      <c r="G290" s="116"/>
      <c r="H290" s="116"/>
    </row>
    <row r="291" spans="1:8" s="33" customFormat="1" ht="12.75">
      <c r="A291" s="36"/>
      <c r="B291" s="126"/>
      <c r="C291" s="116"/>
      <c r="D291" s="116"/>
      <c r="E291" s="116"/>
      <c r="F291" s="116"/>
      <c r="G291" s="116"/>
      <c r="H291" s="116"/>
    </row>
    <row r="292" spans="1:8" s="33" customFormat="1" ht="12.75">
      <c r="A292" s="36"/>
      <c r="B292" s="126"/>
      <c r="C292" s="116"/>
      <c r="D292" s="116"/>
      <c r="E292" s="116"/>
      <c r="F292" s="116"/>
      <c r="G292" s="116"/>
      <c r="H292" s="116"/>
    </row>
    <row r="293" spans="1:8" s="33" customFormat="1" ht="12.75">
      <c r="A293" s="36"/>
      <c r="B293" s="126"/>
      <c r="C293" s="116"/>
      <c r="D293" s="116"/>
      <c r="E293" s="116"/>
      <c r="F293" s="116"/>
      <c r="G293" s="116"/>
      <c r="H293" s="116"/>
    </row>
    <row r="294" spans="1:8" s="33" customFormat="1" ht="12.75">
      <c r="A294" s="36"/>
      <c r="B294" s="126"/>
      <c r="C294" s="116"/>
      <c r="D294" s="116"/>
      <c r="E294" s="116"/>
      <c r="F294" s="116"/>
      <c r="G294" s="116"/>
      <c r="H294" s="116"/>
    </row>
    <row r="295" spans="1:8" s="33" customFormat="1" ht="12.75">
      <c r="A295" s="36"/>
      <c r="B295" s="126"/>
      <c r="C295" s="116"/>
      <c r="D295" s="116"/>
      <c r="E295" s="116"/>
      <c r="F295" s="116"/>
      <c r="G295" s="116"/>
      <c r="H295" s="116"/>
    </row>
    <row r="296" spans="1:8" s="33" customFormat="1" ht="12.75">
      <c r="A296" s="36"/>
      <c r="B296" s="126"/>
      <c r="C296" s="116"/>
      <c r="D296" s="116"/>
      <c r="E296" s="116"/>
      <c r="F296" s="116"/>
      <c r="G296" s="116"/>
      <c r="H296" s="116"/>
    </row>
    <row r="297" spans="1:8" s="33" customFormat="1" ht="12.75">
      <c r="A297" s="36"/>
      <c r="B297" s="126"/>
      <c r="C297" s="116"/>
      <c r="D297" s="116"/>
      <c r="E297" s="116"/>
      <c r="F297" s="116"/>
      <c r="G297" s="116"/>
      <c r="H297" s="116"/>
    </row>
    <row r="298" spans="1:8" s="33" customFormat="1" ht="12.75">
      <c r="A298" s="36"/>
      <c r="B298" s="126"/>
      <c r="C298" s="116"/>
      <c r="D298" s="116"/>
      <c r="E298" s="116"/>
      <c r="F298" s="116"/>
      <c r="G298" s="116"/>
      <c r="H298" s="116"/>
    </row>
    <row r="299" spans="1:8" s="33" customFormat="1" ht="12.75">
      <c r="A299" s="36"/>
      <c r="B299" s="126"/>
      <c r="C299" s="116"/>
      <c r="D299" s="116"/>
      <c r="E299" s="116"/>
      <c r="F299" s="116"/>
      <c r="G299" s="116"/>
      <c r="H299" s="116"/>
    </row>
    <row r="300" spans="1:8" s="33" customFormat="1" ht="12.75">
      <c r="A300" s="36"/>
      <c r="B300" s="126"/>
      <c r="C300" s="116"/>
      <c r="D300" s="116"/>
      <c r="E300" s="116"/>
      <c r="F300" s="116"/>
      <c r="G300" s="116"/>
      <c r="H300" s="116"/>
    </row>
    <row r="301" spans="1:8" s="33" customFormat="1" ht="12.75">
      <c r="A301" s="36"/>
      <c r="B301" s="126"/>
      <c r="C301" s="116"/>
      <c r="D301" s="116"/>
      <c r="E301" s="116"/>
      <c r="F301" s="116"/>
      <c r="G301" s="116"/>
      <c r="H301" s="116"/>
    </row>
    <row r="302" spans="1:8" s="8" customFormat="1" ht="18">
      <c r="A302" s="16" t="s">
        <v>261</v>
      </c>
      <c r="B302" s="6"/>
      <c r="C302" s="6"/>
      <c r="E302" s="10"/>
      <c r="F302" s="10"/>
      <c r="G302" s="14"/>
      <c r="H302" s="14"/>
    </row>
    <row r="303" spans="1:8" s="8" customFormat="1" ht="13.5" thickBot="1">
      <c r="A303" s="217"/>
      <c r="B303" s="6"/>
      <c r="C303" s="6"/>
      <c r="D303" s="6"/>
      <c r="E303" s="14"/>
      <c r="F303" s="10"/>
      <c r="G303" s="14"/>
      <c r="H303" s="14"/>
    </row>
    <row r="304" spans="1:8" s="8" customFormat="1" ht="93.75" customHeight="1">
      <c r="A304" s="232"/>
      <c r="B304" s="50" t="s">
        <v>317</v>
      </c>
      <c r="C304" s="50" t="s">
        <v>437</v>
      </c>
      <c r="D304" s="92"/>
      <c r="E304" s="51" t="s">
        <v>142</v>
      </c>
      <c r="F304" s="6"/>
      <c r="G304" s="14"/>
      <c r="H304" s="14"/>
    </row>
    <row r="305" spans="1:8" s="8" customFormat="1" ht="12.75">
      <c r="A305" s="272" t="s">
        <v>436</v>
      </c>
      <c r="B305" s="273"/>
      <c r="C305" s="274"/>
      <c r="D305" s="93"/>
      <c r="E305" s="426"/>
      <c r="F305" s="6"/>
      <c r="G305" s="14"/>
      <c r="H305" s="14"/>
    </row>
    <row r="306" spans="1:8" s="8" customFormat="1" ht="12.75">
      <c r="A306" s="233" t="s">
        <v>430</v>
      </c>
      <c r="B306" s="86">
        <f>'Wksht 1. Data Inputs'!B107</f>
        <v>2001</v>
      </c>
      <c r="C306" s="47"/>
      <c r="D306" s="93"/>
      <c r="E306" s="427"/>
      <c r="F306" s="6"/>
      <c r="G306" s="14"/>
      <c r="H306" s="14"/>
    </row>
    <row r="307" spans="1:8" s="8" customFormat="1" ht="12.75">
      <c r="A307" s="233" t="s">
        <v>394</v>
      </c>
      <c r="B307" s="42">
        <f>('Wksht 1. Data Inputs'!B113+'Wksht 1. Data Inputs'!B116)*(12/44)*1000000</f>
        <v>15245454.545454545</v>
      </c>
      <c r="C307" s="42">
        <f aca="true" t="shared" si="6" ref="C307:C312">(B307/$B$312)*100</f>
        <v>19.402985074626866</v>
      </c>
      <c r="D307" s="94"/>
      <c r="E307" s="44" t="e">
        <f aca="true" t="shared" si="7" ref="E307:E312">-(($E$144+$E$245)/B307)*100</f>
        <v>#DIV/0!</v>
      </c>
      <c r="F307" s="14"/>
      <c r="G307" s="14"/>
      <c r="H307" s="14"/>
    </row>
    <row r="308" spans="1:8" s="8" customFormat="1" ht="12.75">
      <c r="A308" s="233" t="s">
        <v>392</v>
      </c>
      <c r="B308" s="42">
        <f>'Wksht 1. Data Inputs'!B110*(12/44)*1000000</f>
        <v>28690909.090909086</v>
      </c>
      <c r="C308" s="42">
        <f t="shared" si="6"/>
        <v>36.51509892398472</v>
      </c>
      <c r="D308" s="94"/>
      <c r="E308" s="44" t="e">
        <f t="shared" si="7"/>
        <v>#DIV/0!</v>
      </c>
      <c r="F308" s="14"/>
      <c r="G308" s="14"/>
      <c r="H308" s="14"/>
    </row>
    <row r="309" spans="1:8" s="8" customFormat="1" ht="12.75">
      <c r="A309" s="233" t="s">
        <v>107</v>
      </c>
      <c r="B309" s="42">
        <f>'Wksht 1. Data Inputs'!B118*(12/44)*1000000</f>
        <v>927272.7272727272</v>
      </c>
      <c r="C309" s="42">
        <f t="shared" si="6"/>
        <v>1.1801457827143353</v>
      </c>
      <c r="D309" s="94"/>
      <c r="E309" s="44" t="e">
        <f t="shared" si="7"/>
        <v>#DIV/0!</v>
      </c>
      <c r="F309" s="14"/>
      <c r="G309" s="14"/>
      <c r="H309" s="14"/>
    </row>
    <row r="310" spans="1:8" s="8" customFormat="1" ht="12.75">
      <c r="A310" s="233" t="s">
        <v>395</v>
      </c>
      <c r="B310" s="42">
        <f>'Wksht 1. Data Inputs'!B114*(12/44)*1000000</f>
        <v>19472727.272727273</v>
      </c>
      <c r="C310" s="42">
        <f t="shared" si="6"/>
        <v>24.783061437001045</v>
      </c>
      <c r="D310" s="94"/>
      <c r="E310" s="44" t="e">
        <f t="shared" si="7"/>
        <v>#DIV/0!</v>
      </c>
      <c r="F310" s="14"/>
      <c r="G310" s="14"/>
      <c r="H310" s="14"/>
    </row>
    <row r="311" spans="1:8" s="8" customFormat="1" ht="12.75">
      <c r="A311" s="233" t="s">
        <v>397</v>
      </c>
      <c r="B311" s="42">
        <f>('Wksht 1. Data Inputs'!B111+'Wksht 1. Data Inputs'!B112+'Wksht 1. Data Inputs'!B115+'Wksht 1. Data Inputs'!B117)*(12/44)*1000000</f>
        <v>14236363.636363635</v>
      </c>
      <c r="C311" s="42">
        <f t="shared" si="6"/>
        <v>18.11870878167303</v>
      </c>
      <c r="D311" s="94"/>
      <c r="E311" s="44" t="e">
        <f t="shared" si="7"/>
        <v>#DIV/0!</v>
      </c>
      <c r="F311" s="14"/>
      <c r="G311" s="14"/>
      <c r="H311" s="14"/>
    </row>
    <row r="312" spans="1:8" s="8" customFormat="1" ht="13.5" thickBot="1">
      <c r="A312" s="68" t="s">
        <v>398</v>
      </c>
      <c r="B312" s="48">
        <f>'Wksht 1. Data Inputs'!B119*(12/44)*1000000</f>
        <v>78572727.27272727</v>
      </c>
      <c r="C312" s="48">
        <f t="shared" si="6"/>
        <v>100</v>
      </c>
      <c r="D312" s="95"/>
      <c r="E312" s="488" t="e">
        <f t="shared" si="7"/>
        <v>#DIV/0!</v>
      </c>
      <c r="F312" s="14"/>
      <c r="G312" s="14"/>
      <c r="H312" s="14"/>
    </row>
    <row r="313" spans="1:8" s="8" customFormat="1" ht="13.5" thickBot="1">
      <c r="A313" s="278"/>
      <c r="B313" s="279"/>
      <c r="C313" s="280"/>
      <c r="D313" s="280"/>
      <c r="E313" s="428"/>
      <c r="F313" s="14"/>
      <c r="G313" s="14"/>
      <c r="H313" s="14"/>
    </row>
    <row r="314" spans="1:8" s="8" customFormat="1" ht="15.75">
      <c r="A314" s="277" t="s">
        <v>311</v>
      </c>
      <c r="B314" s="275"/>
      <c r="C314" s="276"/>
      <c r="D314" s="99"/>
      <c r="E314" s="429"/>
      <c r="F314" s="14"/>
      <c r="G314" s="14"/>
      <c r="H314" s="14"/>
    </row>
    <row r="315" spans="1:8" s="8" customFormat="1" ht="12.75">
      <c r="A315" s="220" t="s">
        <v>430</v>
      </c>
      <c r="B315" s="87">
        <f>'Wksht 1. Data Inputs'!B129</f>
        <v>2002</v>
      </c>
      <c r="C315" s="42"/>
      <c r="D315" s="96"/>
      <c r="E315" s="44"/>
      <c r="F315" s="14"/>
      <c r="G315" s="14"/>
      <c r="H315" s="14"/>
    </row>
    <row r="316" spans="1:8" s="8" customFormat="1" ht="12.75">
      <c r="A316" s="233" t="s">
        <v>402</v>
      </c>
      <c r="B316" s="42">
        <f>'Wksht 1. Data Inputs'!B132*(12/44)*1000000</f>
        <v>3425454.5454545454</v>
      </c>
      <c r="C316" s="42">
        <f aca="true" t="shared" si="8" ref="C316:C321">(B316/$B$321)*100</f>
        <v>4.761002236458057</v>
      </c>
      <c r="D316" s="97"/>
      <c r="E316" s="44" t="e">
        <f aca="true" t="shared" si="9" ref="E316:E321">-(($E$144+$E$245)/B316)*100</f>
        <v>#DIV/0!</v>
      </c>
      <c r="F316" s="14"/>
      <c r="G316" s="14"/>
      <c r="H316" s="14"/>
    </row>
    <row r="317" spans="1:8" s="8" customFormat="1" ht="12.75">
      <c r="A317" s="233" t="s">
        <v>396</v>
      </c>
      <c r="B317" s="42">
        <f>'Wksht 1. Data Inputs'!B133*(12/44)*1000000</f>
        <v>12488181.818181816</v>
      </c>
      <c r="C317" s="42">
        <f t="shared" si="8"/>
        <v>17.357188885940637</v>
      </c>
      <c r="D317" s="97"/>
      <c r="E317" s="44" t="e">
        <f t="shared" si="9"/>
        <v>#DIV/0!</v>
      </c>
      <c r="F317" s="14"/>
      <c r="G317" s="14"/>
      <c r="H317" s="14"/>
    </row>
    <row r="318" spans="1:8" s="8" customFormat="1" ht="12.75">
      <c r="A318" s="233" t="s">
        <v>400</v>
      </c>
      <c r="B318" s="42">
        <f>'Wksht 1. Data Inputs'!B134*(12/44)*1000000</f>
        <v>6496363.636363636</v>
      </c>
      <c r="C318" s="42">
        <f t="shared" si="8"/>
        <v>9.0292255790152</v>
      </c>
      <c r="D318" s="97"/>
      <c r="E318" s="44" t="e">
        <f t="shared" si="9"/>
        <v>#DIV/0!</v>
      </c>
      <c r="F318" s="14"/>
      <c r="G318" s="14"/>
      <c r="H318" s="14"/>
    </row>
    <row r="319" spans="1:8" s="8" customFormat="1" ht="12.75">
      <c r="A319" s="233" t="s">
        <v>395</v>
      </c>
      <c r="B319" s="42">
        <f>'Wksht 1. Data Inputs'!B135*(12/44)*1000000</f>
        <v>19019999.999999996</v>
      </c>
      <c r="C319" s="42">
        <f t="shared" si="8"/>
        <v>26.43569235434593</v>
      </c>
      <c r="D319" s="97"/>
      <c r="E319" s="44" t="e">
        <f t="shared" si="9"/>
        <v>#DIV/0!</v>
      </c>
      <c r="F319" s="14"/>
      <c r="G319" s="14"/>
      <c r="H319" s="14"/>
    </row>
    <row r="320" spans="1:8" s="8" customFormat="1" ht="12.75">
      <c r="A320" s="233" t="s">
        <v>392</v>
      </c>
      <c r="B320" s="42">
        <f>'Wksht 1. Data Inputs'!B136*(12/44)*1000000</f>
        <v>30518181.818181816</v>
      </c>
      <c r="C320" s="42">
        <f t="shared" si="8"/>
        <v>42.41689094424017</v>
      </c>
      <c r="D320" s="97"/>
      <c r="E320" s="44" t="e">
        <f t="shared" si="9"/>
        <v>#DIV/0!</v>
      </c>
      <c r="F320" s="14"/>
      <c r="G320" s="14"/>
      <c r="H320" s="14"/>
    </row>
    <row r="321" spans="1:8" s="8" customFormat="1" ht="13.5" thickBot="1">
      <c r="A321" s="68" t="s">
        <v>398</v>
      </c>
      <c r="B321" s="48">
        <f>'Wksht 1. Data Inputs'!B137*(12/44)*1000000</f>
        <v>71948181.81818181</v>
      </c>
      <c r="C321" s="48">
        <f t="shared" si="8"/>
        <v>100</v>
      </c>
      <c r="D321" s="98"/>
      <c r="E321" s="45" t="e">
        <f t="shared" si="9"/>
        <v>#DIV/0!</v>
      </c>
      <c r="F321" s="14"/>
      <c r="G321" s="14"/>
      <c r="H321" s="14"/>
    </row>
    <row r="322" spans="1:8" s="8" customFormat="1" ht="12.75">
      <c r="A322" s="217"/>
      <c r="B322" s="4"/>
      <c r="C322" s="4"/>
      <c r="D322" s="4"/>
      <c r="E322" s="14"/>
      <c r="F322" s="14"/>
      <c r="G322" s="14"/>
      <c r="H322" s="14"/>
    </row>
    <row r="323" spans="1:8" s="8" customFormat="1" ht="12.75">
      <c r="A323" s="217" t="s">
        <v>438</v>
      </c>
      <c r="B323" s="4"/>
      <c r="C323" s="4"/>
      <c r="D323" s="4"/>
      <c r="E323" s="14"/>
      <c r="F323" s="14"/>
      <c r="G323" s="14"/>
      <c r="H323" s="14"/>
    </row>
    <row r="324" spans="1:8" s="8" customFormat="1" ht="12.75">
      <c r="A324" s="226" t="str">
        <f>A111</f>
        <v>Table 2.  Reductions in Greenhouse Gas Emissions as a Result of Source Reduction and Reuse</v>
      </c>
      <c r="B324" s="4"/>
      <c r="C324" s="4"/>
      <c r="D324" s="4"/>
      <c r="E324" s="14"/>
      <c r="F324" s="14"/>
      <c r="G324" s="14"/>
      <c r="H324" s="14"/>
    </row>
    <row r="325" spans="1:8" s="1" customFormat="1" ht="12.75">
      <c r="A325" s="226" t="str">
        <f>A206</f>
        <v>Table 3.  Reductions in Greenhouse Gas Emissions as a Result of Recycling</v>
      </c>
      <c r="D325" s="14"/>
      <c r="E325" s="14"/>
      <c r="F325" s="14"/>
      <c r="G325" s="14"/>
      <c r="H325" s="14"/>
    </row>
    <row r="326" spans="1:8" s="8" customFormat="1" ht="12.75">
      <c r="A326" s="612" t="str">
        <f>'Wksht 1. Data Inputs'!B103</f>
        <v>World Resources Institute.  "Climate Analysis Indicators Tool (CAIT)".  (2006). 17 July 2006 http://cait.wri.org/.  </v>
      </c>
      <c r="B326" s="571"/>
      <c r="C326" s="571"/>
      <c r="D326" s="571"/>
      <c r="E326" s="571"/>
      <c r="F326" s="571"/>
      <c r="G326" s="571"/>
      <c r="H326" s="571"/>
    </row>
    <row r="327" spans="1:8" s="8" customFormat="1" ht="12.75">
      <c r="A327" s="613" t="str">
        <f>'Wksht 1. Data Inputs'!B125</f>
        <v>U.S. EPA. "Energy CO2 Inventories." (2006). 1 Sept 06 http://yosemite.epa.gov/oar/globalwarming.nsf/content/EmissionsStateEnergyCO2Inventories.html?OpenDocument. </v>
      </c>
      <c r="B327" s="571"/>
      <c r="C327" s="571"/>
      <c r="D327" s="571"/>
      <c r="E327" s="571"/>
      <c r="F327" s="571"/>
      <c r="G327" s="571"/>
      <c r="H327" s="571"/>
    </row>
    <row r="328" spans="1:8" s="8" customFormat="1" ht="12.75">
      <c r="A328" s="217"/>
      <c r="B328" s="18"/>
      <c r="C328" s="21"/>
      <c r="D328" s="4"/>
      <c r="E328" s="14"/>
      <c r="F328" s="14"/>
      <c r="G328" s="14"/>
      <c r="H328" s="14"/>
    </row>
    <row r="329" spans="1:8" s="33" customFormat="1" ht="18">
      <c r="A329" s="238" t="s">
        <v>357</v>
      </c>
      <c r="E329" s="30"/>
      <c r="F329" s="30"/>
      <c r="G329" s="30"/>
      <c r="H329" s="30"/>
    </row>
    <row r="330" spans="1:8" s="33" customFormat="1" ht="12.75">
      <c r="A330" s="234" t="s">
        <v>26</v>
      </c>
      <c r="E330" s="30"/>
      <c r="F330" s="30"/>
      <c r="G330" s="30"/>
      <c r="H330" s="30"/>
    </row>
    <row r="331" spans="1:8" s="33" customFormat="1" ht="13.5" thickBot="1">
      <c r="A331" s="107"/>
      <c r="E331" s="30"/>
      <c r="F331" s="30"/>
      <c r="G331" s="30"/>
      <c r="H331" s="30"/>
    </row>
    <row r="332" spans="1:8" s="116" customFormat="1" ht="78.75" customHeight="1">
      <c r="A332" s="249"/>
      <c r="B332" s="123" t="s">
        <v>268</v>
      </c>
      <c r="C332" s="615" t="s">
        <v>256</v>
      </c>
      <c r="D332" s="615" t="s">
        <v>252</v>
      </c>
      <c r="E332" s="619" t="s">
        <v>257</v>
      </c>
      <c r="F332" s="117"/>
      <c r="G332" s="117"/>
      <c r="H332" s="117"/>
    </row>
    <row r="333" spans="1:8" s="33" customFormat="1" ht="12.75">
      <c r="A333" s="250" t="s">
        <v>430</v>
      </c>
      <c r="B333" s="54" t="str">
        <f>'Wksht 1. Data Inputs'!B15</f>
        <v>potential 2003 waste comp</v>
      </c>
      <c r="C333" s="616"/>
      <c r="D333" s="616"/>
      <c r="E333" s="620"/>
      <c r="F333" s="30"/>
      <c r="G333" s="30"/>
      <c r="H333" s="30"/>
    </row>
    <row r="334" spans="1:8" s="33" customFormat="1" ht="12.75">
      <c r="A334" s="221" t="s">
        <v>373</v>
      </c>
      <c r="B334" s="42">
        <f aca="true" t="shared" si="10" ref="B334:B346">C15</f>
        <v>0</v>
      </c>
      <c r="C334" s="56">
        <f>B334*(VLOOKUP(A334,'Wksht 3. Conversion Factors'!$A$55:$F$89,2,FALSE))</f>
        <v>0</v>
      </c>
      <c r="D334" s="56" t="e">
        <f>B334*((VLOOKUP(A334,'Wksht 3. Conversion Factors'!$A$55:$F$89,5,FALSE)*'Wksht 4. Calculations'!$B$15)+(VLOOKUP(A334,'Wksht 3. Conversion Factors'!$A$55:$F$89,6,FALSE)*'Wksht 4. Calculations'!$B$16))</f>
        <v>#DIV/0!</v>
      </c>
      <c r="E334" s="256" t="e">
        <f>C334-D334</f>
        <v>#DIV/0!</v>
      </c>
      <c r="F334" s="30"/>
      <c r="G334" s="30"/>
      <c r="H334" s="30"/>
    </row>
    <row r="335" spans="1:8" s="33" customFormat="1" ht="12.75">
      <c r="A335" s="221" t="s">
        <v>374</v>
      </c>
      <c r="B335" s="42">
        <f t="shared" si="10"/>
        <v>0</v>
      </c>
      <c r="C335" s="56">
        <f>B335*(VLOOKUP(A335,'Wksht 3. Conversion Factors'!$A$55:$F$89,2,FALSE))</f>
        <v>0</v>
      </c>
      <c r="D335" s="56" t="e">
        <f>B335*((VLOOKUP(A335,'Wksht 3. Conversion Factors'!$A$55:$F$89,5,FALSE)*'Wksht 4. Calculations'!$B$15)+(VLOOKUP(A335,'Wksht 3. Conversion Factors'!$A$55:$F$89,6,FALSE)*'Wksht 4. Calculations'!$B$16))</f>
        <v>#DIV/0!</v>
      </c>
      <c r="E335" s="256" t="e">
        <f>C335-D335</f>
        <v>#DIV/0!</v>
      </c>
      <c r="F335" s="30"/>
      <c r="G335" s="30"/>
      <c r="H335" s="30"/>
    </row>
    <row r="336" spans="1:8" s="33" customFormat="1" ht="12.75">
      <c r="A336" s="221" t="s">
        <v>375</v>
      </c>
      <c r="B336" s="42">
        <f t="shared" si="10"/>
        <v>0</v>
      </c>
      <c r="C336" s="56">
        <f>B336*(VLOOKUP(A336,'Wksht 3. Conversion Factors'!$A$55:$F$89,2,FALSE))</f>
        <v>0</v>
      </c>
      <c r="D336" s="56" t="e">
        <f>B336*((VLOOKUP(A336,'Wksht 3. Conversion Factors'!$A$55:$F$89,5,FALSE)*'Wksht 4. Calculations'!$B$15)+(VLOOKUP(A336,'Wksht 3. Conversion Factors'!$A$55:$F$89,6,FALSE)*'Wksht 4. Calculations'!$B$16))</f>
        <v>#DIV/0!</v>
      </c>
      <c r="E336" s="256" t="e">
        <f aca="true" t="shared" si="11" ref="E336:E345">C336-D336</f>
        <v>#DIV/0!</v>
      </c>
      <c r="F336" s="30"/>
      <c r="G336" s="30"/>
      <c r="H336" s="30"/>
    </row>
    <row r="337" spans="1:8" s="33" customFormat="1" ht="12.75">
      <c r="A337" s="221" t="s">
        <v>376</v>
      </c>
      <c r="B337" s="42">
        <f t="shared" si="10"/>
        <v>0</v>
      </c>
      <c r="C337" s="56">
        <f>B337*(VLOOKUP(A337,'Wksht 3. Conversion Factors'!$A$55:$F$89,2,FALSE))</f>
        <v>0</v>
      </c>
      <c r="D337" s="56" t="e">
        <f>B337*((VLOOKUP(A337,'Wksht 3. Conversion Factors'!$A$55:$F$89,5,FALSE)*'Wksht 4. Calculations'!$B$15)+(VLOOKUP(A337,'Wksht 3. Conversion Factors'!$A$55:$F$89,6,FALSE)*'Wksht 4. Calculations'!$B$16))</f>
        <v>#DIV/0!</v>
      </c>
      <c r="E337" s="256" t="e">
        <f t="shared" si="11"/>
        <v>#DIV/0!</v>
      </c>
      <c r="F337" s="30"/>
      <c r="G337" s="30"/>
      <c r="H337" s="30"/>
    </row>
    <row r="338" spans="1:8" s="33" customFormat="1" ht="12.75">
      <c r="A338" s="221" t="s">
        <v>377</v>
      </c>
      <c r="B338" s="42">
        <f t="shared" si="10"/>
        <v>0</v>
      </c>
      <c r="C338" s="56">
        <f>B338*(VLOOKUP(A338,'Wksht 3. Conversion Factors'!$A$55:$F$89,2,FALSE))</f>
        <v>0</v>
      </c>
      <c r="D338" s="56" t="e">
        <f>B338*((VLOOKUP(A338,'Wksht 3. Conversion Factors'!$A$55:$F$89,5,FALSE)*'Wksht 4. Calculations'!$B$15)+(VLOOKUP(A338,'Wksht 3. Conversion Factors'!$A$55:$F$89,6,FALSE)*'Wksht 4. Calculations'!$B$16))</f>
        <v>#DIV/0!</v>
      </c>
      <c r="E338" s="256" t="e">
        <f t="shared" si="11"/>
        <v>#DIV/0!</v>
      </c>
      <c r="F338" s="30"/>
      <c r="G338" s="30"/>
      <c r="H338" s="30"/>
    </row>
    <row r="339" spans="1:8" s="33" customFormat="1" ht="12.75">
      <c r="A339" s="221" t="s">
        <v>378</v>
      </c>
      <c r="B339" s="42">
        <f t="shared" si="10"/>
        <v>0</v>
      </c>
      <c r="C339" s="56">
        <f>B339*(VLOOKUP(A339,'Wksht 3. Conversion Factors'!$A$55:$F$89,2,FALSE))</f>
        <v>0</v>
      </c>
      <c r="D339" s="56" t="e">
        <f>B339*((VLOOKUP(A339,'Wksht 3. Conversion Factors'!$A$55:$F$89,5,FALSE)*'Wksht 4. Calculations'!$B$15)+(VLOOKUP(A339,'Wksht 3. Conversion Factors'!$A$55:$F$89,6,FALSE)*'Wksht 4. Calculations'!$B$16))</f>
        <v>#DIV/0!</v>
      </c>
      <c r="E339" s="256" t="e">
        <f t="shared" si="11"/>
        <v>#DIV/0!</v>
      </c>
      <c r="F339" s="30"/>
      <c r="G339" s="30"/>
      <c r="H339" s="30"/>
    </row>
    <row r="340" spans="1:8" s="33" customFormat="1" ht="12.75">
      <c r="A340" s="221" t="s">
        <v>372</v>
      </c>
      <c r="B340" s="42">
        <f t="shared" si="10"/>
        <v>0</v>
      </c>
      <c r="C340" s="56">
        <f>B340*(VLOOKUP(A340,'Wksht 3. Conversion Factors'!$A$55:$F$89,2,FALSE))</f>
        <v>0</v>
      </c>
      <c r="D340" s="56" t="e">
        <f>B340*((VLOOKUP(A340,'Wksht 3. Conversion Factors'!$A$55:$F$89,5,FALSE)*'Wksht 4. Calculations'!$B$15)+(VLOOKUP(A340,'Wksht 3. Conversion Factors'!$A$55:$F$89,6,FALSE)*'Wksht 4. Calculations'!$B$16))</f>
        <v>#DIV/0!</v>
      </c>
      <c r="E340" s="256" t="e">
        <f t="shared" si="11"/>
        <v>#DIV/0!</v>
      </c>
      <c r="F340" s="30"/>
      <c r="G340" s="30"/>
      <c r="H340" s="30"/>
    </row>
    <row r="341" spans="1:8" s="33" customFormat="1" ht="12.75">
      <c r="A341" s="221" t="s">
        <v>476</v>
      </c>
      <c r="B341" s="42">
        <f t="shared" si="10"/>
        <v>0</v>
      </c>
      <c r="C341" s="56">
        <f>B341*(VLOOKUP(A341,'Wksht 3. Conversion Factors'!$A$55:$F$89,2,FALSE))</f>
        <v>0</v>
      </c>
      <c r="D341" s="56" t="e">
        <f>B341*((VLOOKUP(A341,'Wksht 3. Conversion Factors'!$A$55:$F$89,5,FALSE)*'Wksht 4. Calculations'!$B$15)+(VLOOKUP(A341,'Wksht 3. Conversion Factors'!$A$55:$F$89,6,FALSE)*'Wksht 4. Calculations'!$B$16))</f>
        <v>#DIV/0!</v>
      </c>
      <c r="E341" s="256" t="e">
        <f t="shared" si="11"/>
        <v>#DIV/0!</v>
      </c>
      <c r="F341" s="30"/>
      <c r="G341" s="30"/>
      <c r="H341" s="30"/>
    </row>
    <row r="342" spans="1:8" s="33" customFormat="1" ht="12.75">
      <c r="A342" s="221" t="s">
        <v>370</v>
      </c>
      <c r="B342" s="42">
        <f t="shared" si="10"/>
        <v>0</v>
      </c>
      <c r="C342" s="56">
        <f>B342*(VLOOKUP(A342,'Wksht 3. Conversion Factors'!$A$55:$F$89,2,FALSE))</f>
        <v>0</v>
      </c>
      <c r="D342" s="56" t="e">
        <f>B342*((VLOOKUP(A342,'Wksht 3. Conversion Factors'!$A$55:$F$89,5,FALSE)*'Wksht 4. Calculations'!$B$15)+(VLOOKUP(A342,'Wksht 3. Conversion Factors'!$A$55:$F$89,6,FALSE)*'Wksht 4. Calculations'!$B$16))</f>
        <v>#DIV/0!</v>
      </c>
      <c r="E342" s="256" t="e">
        <f t="shared" si="11"/>
        <v>#DIV/0!</v>
      </c>
      <c r="F342" s="30"/>
      <c r="G342" s="30"/>
      <c r="H342" s="30"/>
    </row>
    <row r="343" spans="1:8" s="33" customFormat="1" ht="12.75">
      <c r="A343" s="221" t="s">
        <v>371</v>
      </c>
      <c r="B343" s="42">
        <f t="shared" si="10"/>
        <v>0</v>
      </c>
      <c r="C343" s="56">
        <f>B343*(VLOOKUP(A343,'Wksht 3. Conversion Factors'!$A$55:$F$89,2,FALSE))</f>
        <v>0</v>
      </c>
      <c r="D343" s="56" t="e">
        <f>B343*((VLOOKUP(A343,'Wksht 3. Conversion Factors'!$A$55:$F$89,5,FALSE)*'Wksht 4. Calculations'!$B$15)+(VLOOKUP(A343,'Wksht 3. Conversion Factors'!$A$55:$F$89,6,FALSE)*'Wksht 4. Calculations'!$B$16))</f>
        <v>#DIV/0!</v>
      </c>
      <c r="E343" s="256" t="e">
        <f t="shared" si="11"/>
        <v>#DIV/0!</v>
      </c>
      <c r="F343" s="30"/>
      <c r="G343" s="30"/>
      <c r="H343" s="30"/>
    </row>
    <row r="344" spans="1:8" s="33" customFormat="1" ht="12.75">
      <c r="A344" s="221" t="s">
        <v>477</v>
      </c>
      <c r="B344" s="42">
        <f t="shared" si="10"/>
        <v>0</v>
      </c>
      <c r="C344" s="56">
        <f>B344*(VLOOKUP(A344,'Wksht 3. Conversion Factors'!$A$55:$F$89,2,FALSE))</f>
        <v>0</v>
      </c>
      <c r="D344" s="56" t="e">
        <f>B344*((VLOOKUP(A344,'Wksht 3. Conversion Factors'!$A$55:$F$89,5,FALSE)*'Wksht 4. Calculations'!$B$15)+(VLOOKUP(A344,'Wksht 3. Conversion Factors'!$A$55:$F$89,6,FALSE)*'Wksht 4. Calculations'!$B$16))</f>
        <v>#DIV/0!</v>
      </c>
      <c r="E344" s="256" t="e">
        <f t="shared" si="11"/>
        <v>#DIV/0!</v>
      </c>
      <c r="F344" s="30"/>
      <c r="G344" s="30"/>
      <c r="H344" s="30"/>
    </row>
    <row r="345" spans="1:8" s="33" customFormat="1" ht="12.75">
      <c r="A345" s="221" t="s">
        <v>478</v>
      </c>
      <c r="B345" s="42">
        <f t="shared" si="10"/>
        <v>0</v>
      </c>
      <c r="C345" s="56">
        <f>B345*(VLOOKUP(A345,'Wksht 3. Conversion Factors'!$A$55:$F$89,2,FALSE))</f>
        <v>0</v>
      </c>
      <c r="D345" s="56" t="e">
        <f>B345*((VLOOKUP(A345,'Wksht 3. Conversion Factors'!$A$55:$F$89,5,FALSE)*'Wksht 4. Calculations'!$B$15)+(VLOOKUP(A345,'Wksht 3. Conversion Factors'!$A$55:$F$89,6,FALSE)*'Wksht 4. Calculations'!$B$16))</f>
        <v>#DIV/0!</v>
      </c>
      <c r="E345" s="256" t="e">
        <f t="shared" si="11"/>
        <v>#DIV/0!</v>
      </c>
      <c r="F345" s="30"/>
      <c r="G345" s="30"/>
      <c r="H345" s="30"/>
    </row>
    <row r="346" spans="1:8" s="33" customFormat="1" ht="12.75">
      <c r="A346" s="221" t="s">
        <v>149</v>
      </c>
      <c r="B346" s="42">
        <f t="shared" si="10"/>
        <v>0</v>
      </c>
      <c r="C346" s="56">
        <f>B346*(VLOOKUP(A346,'Wksht 3. Conversion Factors'!$A$55:$F$89,2,FALSE))</f>
        <v>0</v>
      </c>
      <c r="D346" s="56" t="e">
        <f>B346*((VLOOKUP(A346,'Wksht 3. Conversion Factors'!$A$55:$F$89,5,FALSE)*'Wksht 4. Calculations'!$B$15)+(VLOOKUP(A346,'Wksht 3. Conversion Factors'!$A$55:$F$89,6,FALSE)*'Wksht 4. Calculations'!$B$16))</f>
        <v>#DIV/0!</v>
      </c>
      <c r="E346" s="256" t="e">
        <f>C346-D346</f>
        <v>#DIV/0!</v>
      </c>
      <c r="F346" s="30"/>
      <c r="G346" s="30"/>
      <c r="H346" s="30"/>
    </row>
    <row r="347" spans="1:8" s="33" customFormat="1" ht="12.75">
      <c r="A347" s="221" t="s">
        <v>88</v>
      </c>
      <c r="B347" s="42">
        <f>C33</f>
        <v>0</v>
      </c>
      <c r="C347" s="56">
        <f>B347*(VLOOKUP(A347,'Wksht 3. Conversion Factors'!$A$55:$F$89,2,FALSE))</f>
        <v>0</v>
      </c>
      <c r="D347" s="56" t="e">
        <f>B347*((VLOOKUP(A347,'Wksht 3. Conversion Factors'!$A$55:$F$89,5,FALSE)*'Wksht 4. Calculations'!$B$15)+(VLOOKUP(A347,'Wksht 3. Conversion Factors'!$A$55:$F$89,6,FALSE)*'Wksht 4. Calculations'!$B$16))</f>
        <v>#DIV/0!</v>
      </c>
      <c r="E347" s="256" t="e">
        <f>C347-D347</f>
        <v>#DIV/0!</v>
      </c>
      <c r="F347" s="30"/>
      <c r="G347" s="30"/>
      <c r="H347" s="30"/>
    </row>
    <row r="348" spans="1:8" s="33" customFormat="1" ht="12.75">
      <c r="A348" s="221" t="s">
        <v>322</v>
      </c>
      <c r="B348" s="42">
        <f>C34</f>
        <v>0</v>
      </c>
      <c r="C348" s="56">
        <f>B348*(VLOOKUP(A348,'Wksht 3. Conversion Factors'!$A$55:$F$89,2,FALSE))</f>
        <v>0</v>
      </c>
      <c r="D348" s="56" t="e">
        <f>B348*((VLOOKUP(A348,'Wksht 3. Conversion Factors'!$A$55:$F$89,5,FALSE)*'Wksht 4. Calculations'!$B$15)+(VLOOKUP(A348,'Wksht 3. Conversion Factors'!$A$55:$F$89,6,FALSE)*'Wksht 4. Calculations'!$B$16))</f>
        <v>#DIV/0!</v>
      </c>
      <c r="E348" s="256" t="e">
        <f>C348-D348</f>
        <v>#DIV/0!</v>
      </c>
      <c r="F348" s="30"/>
      <c r="G348" s="30"/>
      <c r="H348" s="30"/>
    </row>
    <row r="349" spans="1:8" s="33" customFormat="1" ht="12.75">
      <c r="A349" s="221" t="s">
        <v>321</v>
      </c>
      <c r="B349" s="42">
        <f>C35</f>
        <v>0</v>
      </c>
      <c r="C349" s="56">
        <f>B349*(VLOOKUP(A349,'Wksht 3. Conversion Factors'!$A$55:$F$89,2,FALSE))</f>
        <v>0</v>
      </c>
      <c r="D349" s="56" t="e">
        <f>B349*((VLOOKUP(A349,'Wksht 3. Conversion Factors'!$A$55:$F$89,5,FALSE)*'Wksht 4. Calculations'!$B$15)+(VLOOKUP(A349,'Wksht 3. Conversion Factors'!$A$55:$F$89,6,FALSE)*'Wksht 4. Calculations'!$B$16))</f>
        <v>#DIV/0!</v>
      </c>
      <c r="E349" s="256" t="e">
        <f>C349-D349</f>
        <v>#DIV/0!</v>
      </c>
      <c r="F349" s="30"/>
      <c r="G349" s="30"/>
      <c r="H349" s="30"/>
    </row>
    <row r="350" spans="1:5" ht="12.75">
      <c r="A350" s="436" t="s">
        <v>323</v>
      </c>
      <c r="B350" s="42">
        <f>C36</f>
        <v>0</v>
      </c>
      <c r="C350" s="56">
        <f>B350*(VLOOKUP(A350,'Wksht 3. Conversion Factors'!$A$55:$F$89,2,FALSE))</f>
        <v>0</v>
      </c>
      <c r="D350" s="56" t="e">
        <f>B350*((VLOOKUP(A350,'Wksht 3. Conversion Factors'!$A$55:$F$89,5,FALSE)*'Wksht 4. Calculations'!$B$15)+(VLOOKUP(A350,'Wksht 3. Conversion Factors'!$A$55:$F$89,6,FALSE)*'Wksht 4. Calculations'!$B$16))</f>
        <v>#DIV/0!</v>
      </c>
      <c r="E350" s="256" t="e">
        <f>C350-D350</f>
        <v>#DIV/0!</v>
      </c>
    </row>
    <row r="351" spans="1:8" s="33" customFormat="1" ht="12.75">
      <c r="A351" s="221" t="s">
        <v>86</v>
      </c>
      <c r="B351" s="84">
        <f aca="true" t="shared" si="12" ref="B351:B361">C37</f>
        <v>0</v>
      </c>
      <c r="C351" s="56" t="s">
        <v>404</v>
      </c>
      <c r="D351" s="56" t="s">
        <v>404</v>
      </c>
      <c r="E351" s="256" t="s">
        <v>404</v>
      </c>
      <c r="F351" s="30"/>
      <c r="G351" s="30"/>
      <c r="H351" s="30"/>
    </row>
    <row r="352" spans="1:8" s="33" customFormat="1" ht="12.75">
      <c r="A352" s="221" t="s">
        <v>393</v>
      </c>
      <c r="B352" s="84">
        <f t="shared" si="12"/>
        <v>0</v>
      </c>
      <c r="C352" s="56">
        <f>B352*(VLOOKUP(A352,'Wksht 3. Conversion Factors'!$A$55:$F$89,2,FALSE))</f>
        <v>0</v>
      </c>
      <c r="D352" s="56" t="e">
        <f>B352*((VLOOKUP(A352,'Wksht 3. Conversion Factors'!$A$55:$F$89,5,FALSE)*'Wksht 4. Calculations'!$B$15)+(VLOOKUP(A352,'Wksht 3. Conversion Factors'!$A$55:$F$89,6,FALSE)*'Wksht 4. Calculations'!$B$16))</f>
        <v>#DIV/0!</v>
      </c>
      <c r="E352" s="256" t="e">
        <f>C352-D352</f>
        <v>#DIV/0!</v>
      </c>
      <c r="F352" s="30"/>
      <c r="G352" s="30"/>
      <c r="H352" s="30"/>
    </row>
    <row r="353" spans="1:8" s="33" customFormat="1" ht="12.75">
      <c r="A353" s="221" t="s">
        <v>407</v>
      </c>
      <c r="B353" s="42">
        <f t="shared" si="12"/>
        <v>0</v>
      </c>
      <c r="C353" s="56">
        <f>B353*(VLOOKUP(A353,'Wksht 3. Conversion Factors'!$A$55:$F$89,2,FALSE))</f>
        <v>0</v>
      </c>
      <c r="D353" s="56" t="e">
        <f>B353*((VLOOKUP(A353,'Wksht 3. Conversion Factors'!$A$55:$F$89,5,FALSE)*'Wksht 4. Calculations'!$B$15)+(VLOOKUP(A353,'Wksht 3. Conversion Factors'!$A$55:$F$89,6,FALSE)*'Wksht 4. Calculations'!$B$16))</f>
        <v>#DIV/0!</v>
      </c>
      <c r="E353" s="256" t="e">
        <f>C353-D353</f>
        <v>#DIV/0!</v>
      </c>
      <c r="F353" s="30"/>
      <c r="G353" s="30"/>
      <c r="H353" s="30"/>
    </row>
    <row r="354" spans="1:8" s="33" customFormat="1" ht="12.75">
      <c r="A354" s="221" t="s">
        <v>68</v>
      </c>
      <c r="B354" s="42">
        <f t="shared" si="12"/>
        <v>0</v>
      </c>
      <c r="C354" s="56">
        <f>B354*(VLOOKUP(A354,'Wksht 3. Conversion Factors'!$A$55:$F$89,2,FALSE))</f>
        <v>0</v>
      </c>
      <c r="D354" s="56" t="e">
        <f>B354*((VLOOKUP(A354,'Wksht 3. Conversion Factors'!$A$55:$F$89,5,FALSE)*'Wksht 4. Calculations'!$B$15)+(VLOOKUP(A354,'Wksht 3. Conversion Factors'!$A$55:$F$89,6,FALSE)*'Wksht 4. Calculations'!$B$16))</f>
        <v>#DIV/0!</v>
      </c>
      <c r="E354" s="256" t="e">
        <f>C354-D354</f>
        <v>#DIV/0!</v>
      </c>
      <c r="F354" s="30"/>
      <c r="G354" s="30"/>
      <c r="H354" s="30"/>
    </row>
    <row r="355" spans="1:8" s="33" customFormat="1" ht="12.75">
      <c r="A355" s="221" t="s">
        <v>144</v>
      </c>
      <c r="B355" s="84">
        <f t="shared" si="12"/>
        <v>0</v>
      </c>
      <c r="C355" s="56">
        <f>B355*(VLOOKUP(A355,'Wksht 3. Conversion Factors'!$A$55:$F$89,2,FALSE))</f>
        <v>0</v>
      </c>
      <c r="D355" s="56">
        <f>B355*(VLOOKUP(A355,'Wksht 3. Conversion Factors'!$A$55:$F$89,6,FALSE))</f>
        <v>0</v>
      </c>
      <c r="E355" s="256">
        <f>C355-D355</f>
        <v>0</v>
      </c>
      <c r="F355" s="30"/>
      <c r="G355" s="30"/>
      <c r="H355" s="30"/>
    </row>
    <row r="356" spans="1:8" s="33" customFormat="1" ht="12.75">
      <c r="A356" s="221" t="s">
        <v>145</v>
      </c>
      <c r="B356" s="84">
        <f t="shared" si="12"/>
        <v>0</v>
      </c>
      <c r="C356" s="56" t="s">
        <v>404</v>
      </c>
      <c r="D356" s="56" t="s">
        <v>404</v>
      </c>
      <c r="E356" s="256" t="s">
        <v>404</v>
      </c>
      <c r="F356" s="30"/>
      <c r="G356" s="30"/>
      <c r="H356" s="30"/>
    </row>
    <row r="357" spans="1:8" s="33" customFormat="1" ht="12.75">
      <c r="A357" s="221" t="s">
        <v>146</v>
      </c>
      <c r="B357" s="84">
        <f t="shared" si="12"/>
        <v>0</v>
      </c>
      <c r="C357" s="56" t="s">
        <v>404</v>
      </c>
      <c r="D357" s="56" t="s">
        <v>404</v>
      </c>
      <c r="E357" s="256" t="s">
        <v>404</v>
      </c>
      <c r="F357" s="30"/>
      <c r="G357" s="30"/>
      <c r="H357" s="30"/>
    </row>
    <row r="358" spans="1:8" s="33" customFormat="1" ht="12.75">
      <c r="A358" s="221" t="s">
        <v>85</v>
      </c>
      <c r="B358" s="42">
        <f t="shared" si="12"/>
        <v>0</v>
      </c>
      <c r="C358" s="56" t="s">
        <v>404</v>
      </c>
      <c r="D358" s="56" t="s">
        <v>404</v>
      </c>
      <c r="E358" s="256" t="s">
        <v>404</v>
      </c>
      <c r="F358" s="30"/>
      <c r="G358" s="30"/>
      <c r="H358" s="30"/>
    </row>
    <row r="359" spans="1:8" s="33" customFormat="1" ht="12.75">
      <c r="A359" s="221" t="s">
        <v>479</v>
      </c>
      <c r="B359" s="42">
        <f t="shared" si="12"/>
        <v>0</v>
      </c>
      <c r="C359" s="56" t="s">
        <v>404</v>
      </c>
      <c r="D359" s="56" t="s">
        <v>404</v>
      </c>
      <c r="E359" s="256" t="s">
        <v>404</v>
      </c>
      <c r="F359" s="30"/>
      <c r="G359" s="30"/>
      <c r="H359" s="30"/>
    </row>
    <row r="360" spans="1:8" s="33" customFormat="1" ht="12.75">
      <c r="A360" s="221" t="s">
        <v>480</v>
      </c>
      <c r="B360" s="42">
        <f t="shared" si="12"/>
        <v>0</v>
      </c>
      <c r="C360" s="56" t="s">
        <v>404</v>
      </c>
      <c r="D360" s="56" t="s">
        <v>404</v>
      </c>
      <c r="E360" s="256" t="s">
        <v>404</v>
      </c>
      <c r="F360" s="30"/>
      <c r="G360" s="30"/>
      <c r="H360" s="30"/>
    </row>
    <row r="361" spans="1:8" s="33" customFormat="1" ht="12.75">
      <c r="A361" s="221" t="s">
        <v>389</v>
      </c>
      <c r="B361" s="42">
        <f t="shared" si="12"/>
        <v>0</v>
      </c>
      <c r="C361" s="56" t="s">
        <v>404</v>
      </c>
      <c r="D361" s="56" t="s">
        <v>404</v>
      </c>
      <c r="E361" s="256" t="s">
        <v>404</v>
      </c>
      <c r="F361" s="30"/>
      <c r="G361" s="30"/>
      <c r="H361" s="30"/>
    </row>
    <row r="362" spans="1:8" s="33" customFormat="1" ht="12.75">
      <c r="A362" s="221" t="s">
        <v>87</v>
      </c>
      <c r="B362" s="84">
        <f>C49</f>
        <v>0</v>
      </c>
      <c r="C362" s="56" t="s">
        <v>404</v>
      </c>
      <c r="D362" s="56" t="s">
        <v>404</v>
      </c>
      <c r="E362" s="256" t="s">
        <v>404</v>
      </c>
      <c r="F362" s="30"/>
      <c r="G362" s="30"/>
      <c r="H362" s="30"/>
    </row>
    <row r="363" spans="1:8" s="33" customFormat="1" ht="28.5" customHeight="1" thickBot="1">
      <c r="A363" s="492" t="s">
        <v>424</v>
      </c>
      <c r="B363" s="496">
        <f>SUM(B334:B362)</f>
        <v>0</v>
      </c>
      <c r="C363" s="496">
        <f>SUM(C334:C362)</f>
        <v>0</v>
      </c>
      <c r="D363" s="496" t="e">
        <f>SUM(D334:D362)</f>
        <v>#DIV/0!</v>
      </c>
      <c r="E363" s="497" t="e">
        <f>C363-D363</f>
        <v>#DIV/0!</v>
      </c>
      <c r="F363" s="30"/>
      <c r="G363" s="30"/>
      <c r="H363" s="30"/>
    </row>
    <row r="364" spans="1:8" s="33" customFormat="1" ht="12.75">
      <c r="A364" s="224"/>
      <c r="E364" s="30"/>
      <c r="F364" s="30"/>
      <c r="G364" s="30"/>
      <c r="H364" s="30"/>
    </row>
    <row r="365" spans="1:8" s="33" customFormat="1" ht="12.75">
      <c r="A365" s="224" t="s">
        <v>438</v>
      </c>
      <c r="E365" s="30"/>
      <c r="F365" s="30"/>
      <c r="G365" s="30"/>
      <c r="H365" s="30"/>
    </row>
    <row r="366" spans="1:8" s="33" customFormat="1" ht="12.75">
      <c r="A366" s="107" t="str">
        <f>'Wksht 1. Data Inputs'!B14</f>
        <v>PA Department of Environmental Protection</v>
      </c>
      <c r="E366" s="30"/>
      <c r="F366" s="30"/>
      <c r="G366" s="30"/>
      <c r="H366" s="30"/>
    </row>
    <row r="367" spans="1:8" s="33" customFormat="1" ht="12.75">
      <c r="A367" s="107" t="str">
        <f>'Wksht 3. Conversion Factors'!B91</f>
        <v>U.S. EPA. "WARM Online, Version 8." (June 2006). 26 June 06 http://yosemite.epa.gov/oar/globalwarming.nsf/WARM.</v>
      </c>
      <c r="E367" s="30"/>
      <c r="F367" s="30"/>
      <c r="G367" s="30"/>
      <c r="H367" s="30"/>
    </row>
    <row r="368" spans="1:8" s="33" customFormat="1" ht="26.25" customHeight="1">
      <c r="A368" s="618" t="str">
        <f>'Wksht 3. Conversion Factors'!B92</f>
        <v>U.S. EPA. "Solid Waste Management and Greenhouse Gases: A Life-Cycle Assessment of Emissions and Sinks. 2nd edition." EPA 530-R-02-006. 11 Nov 2005 http://www.epa.gov/epaoswer/non-hw/muncpl/ghg/ghg.htm. </v>
      </c>
      <c r="B368" s="571"/>
      <c r="C368" s="571"/>
      <c r="D368" s="571"/>
      <c r="E368" s="571"/>
      <c r="F368" s="571"/>
      <c r="G368" s="571"/>
      <c r="H368" s="30"/>
    </row>
    <row r="369" spans="1:8" s="8" customFormat="1" ht="12.75">
      <c r="A369" s="217"/>
      <c r="B369" s="18"/>
      <c r="C369" s="21"/>
      <c r="D369" s="4"/>
      <c r="E369" s="14"/>
      <c r="F369" s="14"/>
      <c r="G369" s="14"/>
      <c r="H369" s="14"/>
    </row>
    <row r="370" spans="1:8" s="8" customFormat="1" ht="18">
      <c r="A370" s="238" t="s">
        <v>22</v>
      </c>
      <c r="B370" s="18"/>
      <c r="C370" s="21"/>
      <c r="D370" s="4"/>
      <c r="E370" s="14"/>
      <c r="F370" s="14"/>
      <c r="G370" s="14"/>
      <c r="H370" s="14"/>
    </row>
    <row r="371" spans="1:8" s="8" customFormat="1" ht="12.75">
      <c r="A371" s="217"/>
      <c r="B371" s="18"/>
      <c r="C371" s="21"/>
      <c r="D371" s="4"/>
      <c r="E371" s="14"/>
      <c r="F371" s="14"/>
      <c r="G371" s="14"/>
      <c r="H371" s="14"/>
    </row>
    <row r="372" spans="1:8" s="8" customFormat="1" ht="12.75">
      <c r="A372" s="217"/>
      <c r="B372" s="18"/>
      <c r="C372" s="21"/>
      <c r="D372" s="4"/>
      <c r="E372" s="14"/>
      <c r="F372" s="14"/>
      <c r="G372" s="14"/>
      <c r="H372" s="14"/>
    </row>
    <row r="373" spans="1:8" s="8" customFormat="1" ht="12.75">
      <c r="A373" s="217"/>
      <c r="B373" s="18"/>
      <c r="C373" s="21"/>
      <c r="D373" s="4"/>
      <c r="E373" s="14"/>
      <c r="F373" s="14"/>
      <c r="G373" s="14"/>
      <c r="H373" s="14"/>
    </row>
    <row r="374" spans="1:8" s="8" customFormat="1" ht="12.75">
      <c r="A374" s="217"/>
      <c r="B374" s="18"/>
      <c r="C374" s="21"/>
      <c r="D374" s="4"/>
      <c r="E374" s="14"/>
      <c r="F374" s="14"/>
      <c r="G374" s="14"/>
      <c r="H374" s="14"/>
    </row>
    <row r="375" spans="1:8" s="8" customFormat="1" ht="12.75">
      <c r="A375" s="217"/>
      <c r="B375" s="18"/>
      <c r="C375" s="21"/>
      <c r="D375" s="4"/>
      <c r="E375" s="14"/>
      <c r="F375" s="14"/>
      <c r="G375" s="14"/>
      <c r="H375" s="14"/>
    </row>
    <row r="376" spans="1:8" s="8" customFormat="1" ht="12.75">
      <c r="A376" s="217"/>
      <c r="B376" s="18"/>
      <c r="C376" s="21"/>
      <c r="D376" s="4"/>
      <c r="E376" s="14"/>
      <c r="F376" s="14"/>
      <c r="G376" s="14"/>
      <c r="H376" s="14"/>
    </row>
    <row r="377" spans="1:8" s="8" customFormat="1" ht="12.75">
      <c r="A377" s="217"/>
      <c r="B377" s="18"/>
      <c r="C377" s="21"/>
      <c r="D377" s="4"/>
      <c r="E377" s="14"/>
      <c r="F377" s="14"/>
      <c r="G377" s="14"/>
      <c r="H377" s="14"/>
    </row>
    <row r="378" spans="1:8" s="8" customFormat="1" ht="12.75">
      <c r="A378" s="217"/>
      <c r="B378" s="18"/>
      <c r="C378" s="21"/>
      <c r="D378" s="4"/>
      <c r="E378" s="14"/>
      <c r="F378" s="14"/>
      <c r="G378" s="14"/>
      <c r="H378" s="14"/>
    </row>
    <row r="379" spans="1:8" s="8" customFormat="1" ht="12.75">
      <c r="A379" s="217"/>
      <c r="B379" s="18"/>
      <c r="C379" s="21"/>
      <c r="D379" s="4"/>
      <c r="E379" s="14"/>
      <c r="F379" s="14"/>
      <c r="G379" s="14"/>
      <c r="H379" s="14"/>
    </row>
    <row r="380" spans="1:8" s="8" customFormat="1" ht="12.75">
      <c r="A380" s="217"/>
      <c r="B380" s="18"/>
      <c r="C380" s="21"/>
      <c r="D380" s="4"/>
      <c r="E380" s="14"/>
      <c r="F380" s="14"/>
      <c r="G380" s="14"/>
      <c r="H380" s="14"/>
    </row>
    <row r="381" spans="1:8" s="8" customFormat="1" ht="12.75">
      <c r="A381" s="217"/>
      <c r="B381" s="18"/>
      <c r="C381" s="21"/>
      <c r="D381" s="4"/>
      <c r="E381" s="14"/>
      <c r="F381" s="14"/>
      <c r="G381" s="14"/>
      <c r="H381" s="14"/>
    </row>
    <row r="382" spans="1:8" s="8" customFormat="1" ht="12.75">
      <c r="A382" s="217"/>
      <c r="B382" s="18"/>
      <c r="C382" s="21"/>
      <c r="D382" s="4"/>
      <c r="E382" s="14"/>
      <c r="F382" s="14"/>
      <c r="G382" s="14"/>
      <c r="H382" s="14"/>
    </row>
    <row r="383" spans="1:8" s="8" customFormat="1" ht="12.75">
      <c r="A383" s="217"/>
      <c r="B383" s="18"/>
      <c r="C383" s="21"/>
      <c r="D383" s="4"/>
      <c r="E383" s="14"/>
      <c r="F383" s="14"/>
      <c r="G383" s="14"/>
      <c r="H383" s="14"/>
    </row>
    <row r="384" spans="1:8" s="8" customFormat="1" ht="12.75">
      <c r="A384" s="217"/>
      <c r="B384" s="18"/>
      <c r="C384" s="21"/>
      <c r="D384" s="4"/>
      <c r="E384" s="14"/>
      <c r="F384" s="14"/>
      <c r="G384" s="14"/>
      <c r="H384" s="14"/>
    </row>
    <row r="385" spans="1:8" s="8" customFormat="1" ht="12.75">
      <c r="A385" s="217"/>
      <c r="B385" s="18"/>
      <c r="C385" s="21"/>
      <c r="D385" s="4"/>
      <c r="E385" s="14"/>
      <c r="F385" s="14"/>
      <c r="G385" s="14"/>
      <c r="H385" s="14"/>
    </row>
    <row r="386" spans="1:8" s="8" customFormat="1" ht="12.75">
      <c r="A386" s="217"/>
      <c r="B386" s="18"/>
      <c r="C386" s="21"/>
      <c r="D386" s="4"/>
      <c r="E386" s="14"/>
      <c r="F386" s="14"/>
      <c r="G386" s="14"/>
      <c r="H386" s="14"/>
    </row>
    <row r="387" spans="1:8" s="8" customFormat="1" ht="12.75">
      <c r="A387" s="217"/>
      <c r="B387" s="18"/>
      <c r="C387" s="21"/>
      <c r="D387" s="4"/>
      <c r="E387" s="14"/>
      <c r="F387" s="14"/>
      <c r="G387" s="14"/>
      <c r="H387" s="14"/>
    </row>
    <row r="388" spans="1:8" s="8" customFormat="1" ht="12.75">
      <c r="A388" s="217"/>
      <c r="B388" s="18"/>
      <c r="C388" s="21"/>
      <c r="D388" s="4"/>
      <c r="E388" s="14"/>
      <c r="F388" s="14"/>
      <c r="G388" s="14"/>
      <c r="H388" s="14"/>
    </row>
    <row r="389" spans="1:8" s="8" customFormat="1" ht="12.75">
      <c r="A389" s="217"/>
      <c r="B389" s="18"/>
      <c r="C389" s="21"/>
      <c r="D389" s="4"/>
      <c r="E389" s="14"/>
      <c r="F389" s="14"/>
      <c r="G389" s="14"/>
      <c r="H389" s="14"/>
    </row>
    <row r="390" spans="1:8" s="8" customFormat="1" ht="12.75">
      <c r="A390" s="217"/>
      <c r="B390" s="18"/>
      <c r="C390" s="21"/>
      <c r="D390" s="4"/>
      <c r="E390" s="14"/>
      <c r="F390" s="14"/>
      <c r="G390" s="14"/>
      <c r="H390" s="14"/>
    </row>
    <row r="391" spans="1:8" s="8" customFormat="1" ht="12.75">
      <c r="A391" s="217"/>
      <c r="B391" s="18"/>
      <c r="C391" s="21"/>
      <c r="D391" s="4"/>
      <c r="E391" s="14"/>
      <c r="F391" s="14"/>
      <c r="G391" s="14"/>
      <c r="H391" s="14"/>
    </row>
    <row r="392" spans="1:8" s="8" customFormat="1" ht="12.75">
      <c r="A392" s="217"/>
      <c r="B392" s="18"/>
      <c r="C392" s="21"/>
      <c r="D392" s="4"/>
      <c r="E392" s="14"/>
      <c r="F392" s="14"/>
      <c r="G392" s="14"/>
      <c r="H392" s="14"/>
    </row>
    <row r="393" spans="1:8" s="8" customFormat="1" ht="12.75">
      <c r="A393" s="217"/>
      <c r="B393" s="18"/>
      <c r="C393" s="21"/>
      <c r="D393" s="4"/>
      <c r="E393" s="14"/>
      <c r="F393" s="14"/>
      <c r="G393" s="14"/>
      <c r="H393" s="14"/>
    </row>
    <row r="394" spans="1:8" s="8" customFormat="1" ht="12.75">
      <c r="A394" s="217"/>
      <c r="B394" s="18"/>
      <c r="C394" s="21"/>
      <c r="D394" s="4"/>
      <c r="E394" s="14"/>
      <c r="F394" s="14"/>
      <c r="G394" s="14"/>
      <c r="H394" s="14"/>
    </row>
    <row r="395" spans="1:8" s="8" customFormat="1" ht="12.75">
      <c r="A395" s="217"/>
      <c r="B395" s="18"/>
      <c r="C395" s="21"/>
      <c r="D395" s="4"/>
      <c r="E395" s="14"/>
      <c r="F395" s="14"/>
      <c r="G395" s="14"/>
      <c r="H395" s="14"/>
    </row>
    <row r="396" spans="1:8" s="8" customFormat="1" ht="12.75">
      <c r="A396" s="217"/>
      <c r="B396" s="18"/>
      <c r="C396" s="21"/>
      <c r="D396" s="4"/>
      <c r="E396" s="14"/>
      <c r="F396" s="14"/>
      <c r="G396" s="14"/>
      <c r="H396" s="14"/>
    </row>
    <row r="397" spans="1:8" s="8" customFormat="1" ht="12.75">
      <c r="A397" s="217"/>
      <c r="B397" s="18"/>
      <c r="C397" s="21"/>
      <c r="D397" s="4"/>
      <c r="E397" s="14"/>
      <c r="F397" s="14"/>
      <c r="G397" s="14"/>
      <c r="H397" s="14"/>
    </row>
    <row r="398" spans="1:8" s="8" customFormat="1" ht="12.75">
      <c r="A398" s="217"/>
      <c r="B398" s="18"/>
      <c r="C398" s="21"/>
      <c r="D398" s="4"/>
      <c r="E398" s="14"/>
      <c r="F398" s="14"/>
      <c r="G398" s="14"/>
      <c r="H398" s="14"/>
    </row>
    <row r="399" spans="1:8" s="8" customFormat="1" ht="12.75">
      <c r="A399" s="217"/>
      <c r="B399" s="18"/>
      <c r="C399" s="21"/>
      <c r="D399" s="4"/>
      <c r="E399" s="14"/>
      <c r="F399" s="14"/>
      <c r="G399" s="14"/>
      <c r="H399" s="14"/>
    </row>
    <row r="400" spans="1:8" s="8" customFormat="1" ht="12.75">
      <c r="A400" s="217"/>
      <c r="B400" s="18"/>
      <c r="C400" s="21"/>
      <c r="D400" s="4"/>
      <c r="E400" s="14"/>
      <c r="F400" s="14"/>
      <c r="G400" s="14"/>
      <c r="H400" s="14"/>
    </row>
    <row r="401" spans="1:8" s="8" customFormat="1" ht="12.75">
      <c r="A401" s="217"/>
      <c r="B401" s="18"/>
      <c r="C401" s="21"/>
      <c r="D401" s="4"/>
      <c r="E401" s="14"/>
      <c r="F401" s="14"/>
      <c r="G401" s="14"/>
      <c r="H401" s="14"/>
    </row>
    <row r="402" spans="1:8" s="8" customFormat="1" ht="12.75">
      <c r="A402" s="217"/>
      <c r="B402" s="18"/>
      <c r="C402" s="21"/>
      <c r="D402" s="4"/>
      <c r="E402" s="14"/>
      <c r="F402" s="14"/>
      <c r="G402" s="14"/>
      <c r="H402" s="14"/>
    </row>
    <row r="403" spans="1:8" s="8" customFormat="1" ht="12.75">
      <c r="A403" s="217"/>
      <c r="B403" s="18"/>
      <c r="C403" s="21"/>
      <c r="D403" s="4"/>
      <c r="E403" s="14"/>
      <c r="F403" s="14"/>
      <c r="G403" s="14"/>
      <c r="H403" s="14"/>
    </row>
    <row r="404" spans="1:8" s="8" customFormat="1" ht="12.75">
      <c r="A404" s="217"/>
      <c r="B404" s="18"/>
      <c r="C404" s="21"/>
      <c r="D404" s="4"/>
      <c r="E404" s="14"/>
      <c r="F404" s="14"/>
      <c r="G404" s="14"/>
      <c r="H404" s="14"/>
    </row>
    <row r="405" spans="1:8" s="8" customFormat="1" ht="12.75">
      <c r="A405" s="217"/>
      <c r="B405" s="18"/>
      <c r="C405" s="21"/>
      <c r="D405" s="4"/>
      <c r="E405" s="14"/>
      <c r="F405" s="14"/>
      <c r="G405" s="14"/>
      <c r="H405" s="14"/>
    </row>
    <row r="406" spans="1:8" s="8" customFormat="1" ht="12.75">
      <c r="A406" s="217"/>
      <c r="B406" s="18"/>
      <c r="C406" s="21"/>
      <c r="D406" s="4"/>
      <c r="E406" s="14"/>
      <c r="F406" s="14"/>
      <c r="G406" s="14"/>
      <c r="H406" s="14"/>
    </row>
    <row r="407" spans="1:8" s="8" customFormat="1" ht="12.75">
      <c r="A407" s="217"/>
      <c r="B407" s="18"/>
      <c r="C407" s="21"/>
      <c r="D407" s="4"/>
      <c r="E407" s="14"/>
      <c r="F407" s="14"/>
      <c r="G407" s="14"/>
      <c r="H407" s="14"/>
    </row>
    <row r="408" spans="1:8" s="8" customFormat="1" ht="12.75">
      <c r="A408" s="217"/>
      <c r="B408" s="18"/>
      <c r="C408" s="21"/>
      <c r="D408" s="4"/>
      <c r="E408" s="14"/>
      <c r="F408" s="14"/>
      <c r="G408" s="14"/>
      <c r="H408" s="14"/>
    </row>
    <row r="409" spans="1:8" s="8" customFormat="1" ht="12.75">
      <c r="A409" s="217"/>
      <c r="B409" s="18"/>
      <c r="C409" s="21"/>
      <c r="D409" s="4"/>
      <c r="E409" s="14"/>
      <c r="F409" s="14"/>
      <c r="G409" s="14"/>
      <c r="H409" s="14"/>
    </row>
    <row r="410" spans="1:8" s="8" customFormat="1" ht="12.75">
      <c r="A410" s="217"/>
      <c r="B410" s="18"/>
      <c r="C410" s="21"/>
      <c r="D410" s="4"/>
      <c r="E410" s="14"/>
      <c r="F410" s="14"/>
      <c r="G410" s="14"/>
      <c r="H410" s="14"/>
    </row>
    <row r="411" spans="1:8" s="8" customFormat="1" ht="12.75">
      <c r="A411" s="217"/>
      <c r="B411" s="18"/>
      <c r="C411" s="21"/>
      <c r="D411" s="4"/>
      <c r="E411" s="14"/>
      <c r="F411" s="14"/>
      <c r="G411" s="14"/>
      <c r="H411" s="14"/>
    </row>
    <row r="412" spans="1:8" s="8" customFormat="1" ht="12.75">
      <c r="A412" s="217"/>
      <c r="B412" s="18"/>
      <c r="C412" s="21"/>
      <c r="D412" s="4"/>
      <c r="E412" s="14"/>
      <c r="F412" s="14"/>
      <c r="G412" s="14"/>
      <c r="H412" s="14"/>
    </row>
    <row r="413" spans="1:8" s="8" customFormat="1" ht="12.75">
      <c r="A413" s="217"/>
      <c r="B413" s="18"/>
      <c r="C413" s="21"/>
      <c r="D413" s="4"/>
      <c r="E413" s="14"/>
      <c r="F413" s="14"/>
      <c r="G413" s="14"/>
      <c r="H413" s="14"/>
    </row>
    <row r="414" spans="1:8" s="8" customFormat="1" ht="12.75">
      <c r="A414" s="217"/>
      <c r="B414" s="18"/>
      <c r="C414" s="21"/>
      <c r="D414" s="4"/>
      <c r="E414" s="14"/>
      <c r="F414" s="14"/>
      <c r="G414" s="14"/>
      <c r="H414" s="14"/>
    </row>
    <row r="415" spans="1:8" s="8" customFormat="1" ht="12.75">
      <c r="A415" s="217"/>
      <c r="B415" s="18"/>
      <c r="C415" s="21"/>
      <c r="D415" s="4"/>
      <c r="E415" s="14"/>
      <c r="F415" s="14"/>
      <c r="G415" s="14"/>
      <c r="H415" s="14"/>
    </row>
    <row r="416" spans="1:8" s="8" customFormat="1" ht="12.75">
      <c r="A416" s="217"/>
      <c r="B416" s="18"/>
      <c r="C416" s="21"/>
      <c r="D416" s="4"/>
      <c r="E416" s="14"/>
      <c r="F416" s="14"/>
      <c r="G416" s="14"/>
      <c r="H416" s="14"/>
    </row>
    <row r="417" spans="1:8" s="8" customFormat="1" ht="12.75">
      <c r="A417" s="217"/>
      <c r="B417" s="18"/>
      <c r="C417" s="21"/>
      <c r="D417" s="4"/>
      <c r="E417" s="14"/>
      <c r="F417" s="14"/>
      <c r="G417" s="14"/>
      <c r="H417" s="14"/>
    </row>
    <row r="418" spans="1:8" s="8" customFormat="1" ht="12.75">
      <c r="A418" s="217"/>
      <c r="B418" s="18"/>
      <c r="C418" s="21"/>
      <c r="D418" s="4"/>
      <c r="E418" s="14"/>
      <c r="F418" s="14"/>
      <c r="G418" s="14"/>
      <c r="H418" s="14"/>
    </row>
    <row r="419" spans="1:8" s="8" customFormat="1" ht="12.75">
      <c r="A419" s="217"/>
      <c r="B419" s="18"/>
      <c r="C419" s="21"/>
      <c r="D419" s="4"/>
      <c r="E419" s="14"/>
      <c r="F419" s="14"/>
      <c r="G419" s="14"/>
      <c r="H419" s="14"/>
    </row>
    <row r="420" spans="1:8" s="8" customFormat="1" ht="12.75">
      <c r="A420" s="217"/>
      <c r="B420" s="18"/>
      <c r="C420" s="21"/>
      <c r="D420" s="4"/>
      <c r="E420" s="14"/>
      <c r="F420" s="14"/>
      <c r="G420" s="14"/>
      <c r="H420" s="14"/>
    </row>
    <row r="421" spans="1:8" s="8" customFormat="1" ht="12.75">
      <c r="A421" s="217"/>
      <c r="B421" s="18"/>
      <c r="C421" s="21"/>
      <c r="D421" s="4"/>
      <c r="E421" s="14"/>
      <c r="F421" s="14"/>
      <c r="G421" s="14"/>
      <c r="H421" s="14"/>
    </row>
    <row r="422" spans="1:8" s="8" customFormat="1" ht="12.75">
      <c r="A422" s="217"/>
      <c r="B422" s="18"/>
      <c r="C422" s="21"/>
      <c r="D422" s="4"/>
      <c r="E422" s="14"/>
      <c r="F422" s="14"/>
      <c r="G422" s="14"/>
      <c r="H422" s="14"/>
    </row>
    <row r="423" spans="1:8" s="8" customFormat="1" ht="12.75">
      <c r="A423" s="217"/>
      <c r="B423" s="18"/>
      <c r="C423" s="21"/>
      <c r="D423" s="4"/>
      <c r="E423" s="14"/>
      <c r="F423" s="14"/>
      <c r="G423" s="14"/>
      <c r="H423" s="14"/>
    </row>
    <row r="424" spans="1:8" s="8" customFormat="1" ht="18.75">
      <c r="A424" s="238" t="s">
        <v>358</v>
      </c>
      <c r="B424" s="18"/>
      <c r="C424" s="21"/>
      <c r="D424" s="4"/>
      <c r="E424" s="14"/>
      <c r="F424" s="14"/>
      <c r="G424" s="14"/>
      <c r="H424" s="14"/>
    </row>
    <row r="425" spans="1:8" s="8" customFormat="1" ht="12.75">
      <c r="A425" s="234" t="s">
        <v>26</v>
      </c>
      <c r="D425" s="12"/>
      <c r="E425" s="12"/>
      <c r="F425" s="13"/>
      <c r="G425" s="13"/>
      <c r="H425" s="14"/>
    </row>
    <row r="426" spans="1:8" s="8" customFormat="1" ht="13.5" thickBot="1">
      <c r="A426" s="217"/>
      <c r="E426" s="10"/>
      <c r="F426" s="10"/>
      <c r="G426" s="10"/>
      <c r="H426" s="14"/>
    </row>
    <row r="427" spans="1:8" s="33" customFormat="1" ht="107.25" customHeight="1">
      <c r="A427" s="235"/>
      <c r="B427" s="253" t="s">
        <v>257</v>
      </c>
      <c r="C427" s="555" t="s">
        <v>246</v>
      </c>
      <c r="D427" s="555" t="s">
        <v>114</v>
      </c>
      <c r="E427" s="555" t="s">
        <v>120</v>
      </c>
      <c r="F427" s="555" t="s">
        <v>213</v>
      </c>
      <c r="G427" s="628"/>
      <c r="H427" s="619" t="s">
        <v>473</v>
      </c>
    </row>
    <row r="428" spans="1:8" s="8" customFormat="1" ht="12.75">
      <c r="A428" s="252" t="s">
        <v>430</v>
      </c>
      <c r="B428" s="54" t="str">
        <f>'Wksht 1. Data Inputs'!B15</f>
        <v>potential 2003 waste comp</v>
      </c>
      <c r="C428" s="625"/>
      <c r="D428" s="627"/>
      <c r="E428" s="625"/>
      <c r="F428" s="625"/>
      <c r="G428" s="629"/>
      <c r="H428" s="624"/>
    </row>
    <row r="429" spans="1:8" s="8" customFormat="1" ht="12.75">
      <c r="A429" s="221" t="s">
        <v>373</v>
      </c>
      <c r="B429" s="257" t="e">
        <f aca="true" t="shared" si="13" ref="B429:B445">E334</f>
        <v>#DIV/0!</v>
      </c>
      <c r="C429" s="257" t="e">
        <f>B429/'Wksht 3. Conversion Factors'!$B$105</f>
        <v>#DIV/0!</v>
      </c>
      <c r="D429" s="257" t="e">
        <f>B429/'Wksht 3. Conversion Factors'!$B$104</f>
        <v>#DIV/0!</v>
      </c>
      <c r="E429" s="257" t="e">
        <f>D429/'Wksht 3. Conversion Factors'!$B$101</f>
        <v>#DIV/0!</v>
      </c>
      <c r="F429" s="257" t="e">
        <f>E429*'Wksht 3. Conversion Factors'!$B$107</f>
        <v>#DIV/0!</v>
      </c>
      <c r="G429" s="103"/>
      <c r="H429" s="44" t="e">
        <f>B429/'Wksht 3. Conversion Factors'!$B$98</f>
        <v>#DIV/0!</v>
      </c>
    </row>
    <row r="430" spans="1:8" s="8" customFormat="1" ht="12.75">
      <c r="A430" s="221" t="s">
        <v>374</v>
      </c>
      <c r="B430" s="257" t="e">
        <f t="shared" si="13"/>
        <v>#DIV/0!</v>
      </c>
      <c r="C430" s="257" t="e">
        <f>B430/'Wksht 3. Conversion Factors'!$B$105</f>
        <v>#DIV/0!</v>
      </c>
      <c r="D430" s="257" t="e">
        <f>B430/'Wksht 3. Conversion Factors'!$B$104</f>
        <v>#DIV/0!</v>
      </c>
      <c r="E430" s="257" t="e">
        <f>D430/'Wksht 3. Conversion Factors'!$B$101</f>
        <v>#DIV/0!</v>
      </c>
      <c r="F430" s="257" t="e">
        <f>E430*'Wksht 3. Conversion Factors'!$B$107</f>
        <v>#DIV/0!</v>
      </c>
      <c r="G430" s="103"/>
      <c r="H430" s="44" t="e">
        <f>B430/'Wksht 3. Conversion Factors'!$B$98</f>
        <v>#DIV/0!</v>
      </c>
    </row>
    <row r="431" spans="1:8" s="8" customFormat="1" ht="12.75">
      <c r="A431" s="221" t="s">
        <v>375</v>
      </c>
      <c r="B431" s="257" t="e">
        <f t="shared" si="13"/>
        <v>#DIV/0!</v>
      </c>
      <c r="C431" s="257" t="e">
        <f>B431/'Wksht 3. Conversion Factors'!$B$105</f>
        <v>#DIV/0!</v>
      </c>
      <c r="D431" s="257" t="e">
        <f>B431/'Wksht 3. Conversion Factors'!$B$104</f>
        <v>#DIV/0!</v>
      </c>
      <c r="E431" s="257" t="e">
        <f>D431/'Wksht 3. Conversion Factors'!$B$101</f>
        <v>#DIV/0!</v>
      </c>
      <c r="F431" s="257" t="e">
        <f>E431*'Wksht 3. Conversion Factors'!$B$107</f>
        <v>#DIV/0!</v>
      </c>
      <c r="G431" s="103"/>
      <c r="H431" s="44" t="e">
        <f>B431/'Wksht 3. Conversion Factors'!$B$98</f>
        <v>#DIV/0!</v>
      </c>
    </row>
    <row r="432" spans="1:8" s="8" customFormat="1" ht="12.75">
      <c r="A432" s="221" t="s">
        <v>376</v>
      </c>
      <c r="B432" s="257" t="e">
        <f t="shared" si="13"/>
        <v>#DIV/0!</v>
      </c>
      <c r="C432" s="257" t="e">
        <f>B432/'Wksht 3. Conversion Factors'!$B$105</f>
        <v>#DIV/0!</v>
      </c>
      <c r="D432" s="257" t="e">
        <f>B432/'Wksht 3. Conversion Factors'!$B$104</f>
        <v>#DIV/0!</v>
      </c>
      <c r="E432" s="257" t="e">
        <f>D432/'Wksht 3. Conversion Factors'!$B$101</f>
        <v>#DIV/0!</v>
      </c>
      <c r="F432" s="257" t="e">
        <f>E432*'Wksht 3. Conversion Factors'!$B$107</f>
        <v>#DIV/0!</v>
      </c>
      <c r="G432" s="103"/>
      <c r="H432" s="44" t="e">
        <f>B432/'Wksht 3. Conversion Factors'!$B$98</f>
        <v>#DIV/0!</v>
      </c>
    </row>
    <row r="433" spans="1:8" s="8" customFormat="1" ht="12.75">
      <c r="A433" s="221" t="s">
        <v>377</v>
      </c>
      <c r="B433" s="257" t="e">
        <f t="shared" si="13"/>
        <v>#DIV/0!</v>
      </c>
      <c r="C433" s="257" t="e">
        <f>B433/'Wksht 3. Conversion Factors'!$B$105</f>
        <v>#DIV/0!</v>
      </c>
      <c r="D433" s="257" t="e">
        <f>B433/'Wksht 3. Conversion Factors'!$B$104</f>
        <v>#DIV/0!</v>
      </c>
      <c r="E433" s="257" t="e">
        <f>D433/'Wksht 3. Conversion Factors'!$B$101</f>
        <v>#DIV/0!</v>
      </c>
      <c r="F433" s="257" t="e">
        <f>E433*'Wksht 3. Conversion Factors'!$B$107</f>
        <v>#DIV/0!</v>
      </c>
      <c r="G433" s="103"/>
      <c r="H433" s="44" t="e">
        <f>B433/'Wksht 3. Conversion Factors'!$B$98</f>
        <v>#DIV/0!</v>
      </c>
    </row>
    <row r="434" spans="1:8" s="8" customFormat="1" ht="12.75">
      <c r="A434" s="221" t="s">
        <v>378</v>
      </c>
      <c r="B434" s="257" t="e">
        <f t="shared" si="13"/>
        <v>#DIV/0!</v>
      </c>
      <c r="C434" s="257" t="e">
        <f>B434/'Wksht 3. Conversion Factors'!$B$105</f>
        <v>#DIV/0!</v>
      </c>
      <c r="D434" s="257" t="e">
        <f>B434/'Wksht 3. Conversion Factors'!$B$104</f>
        <v>#DIV/0!</v>
      </c>
      <c r="E434" s="257" t="e">
        <f>D434/'Wksht 3. Conversion Factors'!$B$101</f>
        <v>#DIV/0!</v>
      </c>
      <c r="F434" s="257" t="e">
        <f>E434*'Wksht 3. Conversion Factors'!$B$107</f>
        <v>#DIV/0!</v>
      </c>
      <c r="G434" s="103"/>
      <c r="H434" s="44" t="e">
        <f>B434/'Wksht 3. Conversion Factors'!$B$98</f>
        <v>#DIV/0!</v>
      </c>
    </row>
    <row r="435" spans="1:8" s="8" customFormat="1" ht="12.75">
      <c r="A435" s="221" t="s">
        <v>372</v>
      </c>
      <c r="B435" s="257" t="e">
        <f t="shared" si="13"/>
        <v>#DIV/0!</v>
      </c>
      <c r="C435" s="257" t="e">
        <f>B435/'Wksht 3. Conversion Factors'!$B$105</f>
        <v>#DIV/0!</v>
      </c>
      <c r="D435" s="257" t="e">
        <f>B435/'Wksht 3. Conversion Factors'!$B$104</f>
        <v>#DIV/0!</v>
      </c>
      <c r="E435" s="257" t="e">
        <f>D435/'Wksht 3. Conversion Factors'!$B$101</f>
        <v>#DIV/0!</v>
      </c>
      <c r="F435" s="257" t="e">
        <f>E435*'Wksht 3. Conversion Factors'!$B$107</f>
        <v>#DIV/0!</v>
      </c>
      <c r="G435" s="103"/>
      <c r="H435" s="44" t="e">
        <f>B435/'Wksht 3. Conversion Factors'!$B$98</f>
        <v>#DIV/0!</v>
      </c>
    </row>
    <row r="436" spans="1:8" s="8" customFormat="1" ht="12.75">
      <c r="A436" s="221" t="s">
        <v>476</v>
      </c>
      <c r="B436" s="257" t="e">
        <f t="shared" si="13"/>
        <v>#DIV/0!</v>
      </c>
      <c r="C436" s="257" t="e">
        <f>B436/'Wksht 3. Conversion Factors'!$B$105</f>
        <v>#DIV/0!</v>
      </c>
      <c r="D436" s="257" t="e">
        <f>B436/'Wksht 3. Conversion Factors'!$B$104</f>
        <v>#DIV/0!</v>
      </c>
      <c r="E436" s="257" t="e">
        <f>D436/'Wksht 3. Conversion Factors'!$B$101</f>
        <v>#DIV/0!</v>
      </c>
      <c r="F436" s="257" t="e">
        <f>E436*'Wksht 3. Conversion Factors'!$B$107</f>
        <v>#DIV/0!</v>
      </c>
      <c r="G436" s="103"/>
      <c r="H436" s="44" t="e">
        <f>B436/'Wksht 3. Conversion Factors'!$B$98</f>
        <v>#DIV/0!</v>
      </c>
    </row>
    <row r="437" spans="1:8" s="8" customFormat="1" ht="12.75">
      <c r="A437" s="221" t="s">
        <v>370</v>
      </c>
      <c r="B437" s="257" t="e">
        <f t="shared" si="13"/>
        <v>#DIV/0!</v>
      </c>
      <c r="C437" s="257" t="e">
        <f>B437/'Wksht 3. Conversion Factors'!$B$105</f>
        <v>#DIV/0!</v>
      </c>
      <c r="D437" s="257" t="e">
        <f>B437/'Wksht 3. Conversion Factors'!$B$104</f>
        <v>#DIV/0!</v>
      </c>
      <c r="E437" s="257" t="e">
        <f>D437/'Wksht 3. Conversion Factors'!$B$101</f>
        <v>#DIV/0!</v>
      </c>
      <c r="F437" s="257" t="e">
        <f>E437*'Wksht 3. Conversion Factors'!$B$107</f>
        <v>#DIV/0!</v>
      </c>
      <c r="G437" s="103"/>
      <c r="H437" s="44" t="e">
        <f>B437/'Wksht 3. Conversion Factors'!$B$98</f>
        <v>#DIV/0!</v>
      </c>
    </row>
    <row r="438" spans="1:8" s="8" customFormat="1" ht="12.75">
      <c r="A438" s="221" t="s">
        <v>371</v>
      </c>
      <c r="B438" s="257" t="e">
        <f t="shared" si="13"/>
        <v>#DIV/0!</v>
      </c>
      <c r="C438" s="257" t="e">
        <f>B438/'Wksht 3. Conversion Factors'!$B$105</f>
        <v>#DIV/0!</v>
      </c>
      <c r="D438" s="257" t="e">
        <f>B438/'Wksht 3. Conversion Factors'!$B$104</f>
        <v>#DIV/0!</v>
      </c>
      <c r="E438" s="257" t="e">
        <f>D438/'Wksht 3. Conversion Factors'!$B$101</f>
        <v>#DIV/0!</v>
      </c>
      <c r="F438" s="257" t="e">
        <f>E438*'Wksht 3. Conversion Factors'!$B$107</f>
        <v>#DIV/0!</v>
      </c>
      <c r="G438" s="103"/>
      <c r="H438" s="44" t="e">
        <f>B438/'Wksht 3. Conversion Factors'!$B$98</f>
        <v>#DIV/0!</v>
      </c>
    </row>
    <row r="439" spans="1:8" s="8" customFormat="1" ht="12.75">
      <c r="A439" s="221" t="s">
        <v>477</v>
      </c>
      <c r="B439" s="257" t="e">
        <f t="shared" si="13"/>
        <v>#DIV/0!</v>
      </c>
      <c r="C439" s="257" t="e">
        <f>B439/'Wksht 3. Conversion Factors'!$B$105</f>
        <v>#DIV/0!</v>
      </c>
      <c r="D439" s="257" t="e">
        <f>B439/'Wksht 3. Conversion Factors'!$B$104</f>
        <v>#DIV/0!</v>
      </c>
      <c r="E439" s="257" t="e">
        <f>D439/'Wksht 3. Conversion Factors'!$B$101</f>
        <v>#DIV/0!</v>
      </c>
      <c r="F439" s="257" t="e">
        <f>E439*'Wksht 3. Conversion Factors'!$B$107</f>
        <v>#DIV/0!</v>
      </c>
      <c r="G439" s="103"/>
      <c r="H439" s="44" t="e">
        <f>B439/'Wksht 3. Conversion Factors'!$B$98</f>
        <v>#DIV/0!</v>
      </c>
    </row>
    <row r="440" spans="1:8" s="8" customFormat="1" ht="12.75">
      <c r="A440" s="221" t="s">
        <v>478</v>
      </c>
      <c r="B440" s="257" t="e">
        <f t="shared" si="13"/>
        <v>#DIV/0!</v>
      </c>
      <c r="C440" s="257" t="e">
        <f>B440/'Wksht 3. Conversion Factors'!$B$105</f>
        <v>#DIV/0!</v>
      </c>
      <c r="D440" s="257" t="e">
        <f>B440/'Wksht 3. Conversion Factors'!$B$104</f>
        <v>#DIV/0!</v>
      </c>
      <c r="E440" s="257" t="e">
        <f>D440/'Wksht 3. Conversion Factors'!$B$101</f>
        <v>#DIV/0!</v>
      </c>
      <c r="F440" s="257" t="e">
        <f>E440*'Wksht 3. Conversion Factors'!$B$107</f>
        <v>#DIV/0!</v>
      </c>
      <c r="G440" s="103"/>
      <c r="H440" s="44" t="e">
        <f>B440/'Wksht 3. Conversion Factors'!$B$98</f>
        <v>#DIV/0!</v>
      </c>
    </row>
    <row r="441" spans="1:8" s="8" customFormat="1" ht="12.75">
      <c r="A441" s="221" t="s">
        <v>149</v>
      </c>
      <c r="B441" s="257" t="e">
        <f t="shared" si="13"/>
        <v>#DIV/0!</v>
      </c>
      <c r="C441" s="257" t="e">
        <f>B441/'Wksht 3. Conversion Factors'!$B$105</f>
        <v>#DIV/0!</v>
      </c>
      <c r="D441" s="257" t="e">
        <f>B441/'Wksht 3. Conversion Factors'!$B$104</f>
        <v>#DIV/0!</v>
      </c>
      <c r="E441" s="257" t="e">
        <f>D441/'Wksht 3. Conversion Factors'!$B$101</f>
        <v>#DIV/0!</v>
      </c>
      <c r="F441" s="257" t="e">
        <f>E441*'Wksht 3. Conversion Factors'!$B$107</f>
        <v>#DIV/0!</v>
      </c>
      <c r="G441" s="103"/>
      <c r="H441" s="44" t="e">
        <f>B441/'Wksht 3. Conversion Factors'!$B$98</f>
        <v>#DIV/0!</v>
      </c>
    </row>
    <row r="442" spans="1:8" s="8" customFormat="1" ht="12.75">
      <c r="A442" s="221" t="s">
        <v>88</v>
      </c>
      <c r="B442" s="257" t="e">
        <f t="shared" si="13"/>
        <v>#DIV/0!</v>
      </c>
      <c r="C442" s="257" t="e">
        <f>B442/'Wksht 3. Conversion Factors'!$B$105</f>
        <v>#DIV/0!</v>
      </c>
      <c r="D442" s="257" t="e">
        <f>B442/'Wksht 3. Conversion Factors'!$B$104</f>
        <v>#DIV/0!</v>
      </c>
      <c r="E442" s="257" t="e">
        <f>D442/'Wksht 3. Conversion Factors'!$B$101</f>
        <v>#DIV/0!</v>
      </c>
      <c r="F442" s="257" t="e">
        <f>E442*'Wksht 3. Conversion Factors'!$B$107</f>
        <v>#DIV/0!</v>
      </c>
      <c r="G442" s="103"/>
      <c r="H442" s="44" t="e">
        <f>B442/'Wksht 3. Conversion Factors'!$B$98</f>
        <v>#DIV/0!</v>
      </c>
    </row>
    <row r="443" spans="1:8" s="8" customFormat="1" ht="12.75">
      <c r="A443" s="221" t="s">
        <v>322</v>
      </c>
      <c r="B443" s="257" t="e">
        <f t="shared" si="13"/>
        <v>#DIV/0!</v>
      </c>
      <c r="C443" s="257" t="e">
        <f>B443/'Wksht 3. Conversion Factors'!$B$105</f>
        <v>#DIV/0!</v>
      </c>
      <c r="D443" s="257" t="e">
        <f>B443/'Wksht 3. Conversion Factors'!$B$104</f>
        <v>#DIV/0!</v>
      </c>
      <c r="E443" s="257" t="e">
        <f>D443/'Wksht 3. Conversion Factors'!$B$101</f>
        <v>#DIV/0!</v>
      </c>
      <c r="F443" s="257" t="e">
        <f>E443*'Wksht 3. Conversion Factors'!$B$107</f>
        <v>#DIV/0!</v>
      </c>
      <c r="G443" s="103"/>
      <c r="H443" s="44" t="e">
        <f>B443/'Wksht 3. Conversion Factors'!$B$98</f>
        <v>#DIV/0!</v>
      </c>
    </row>
    <row r="444" spans="1:8" s="8" customFormat="1" ht="12.75">
      <c r="A444" s="221" t="s">
        <v>321</v>
      </c>
      <c r="B444" s="56" t="e">
        <f t="shared" si="13"/>
        <v>#DIV/0!</v>
      </c>
      <c r="C444" s="56" t="e">
        <f>B444/'Wksht 3. Conversion Factors'!$B$105</f>
        <v>#DIV/0!</v>
      </c>
      <c r="D444" s="56" t="e">
        <f>B444/'Wksht 3. Conversion Factors'!$B$104</f>
        <v>#DIV/0!</v>
      </c>
      <c r="E444" s="56" t="e">
        <f>D444/'Wksht 3. Conversion Factors'!$B$101</f>
        <v>#DIV/0!</v>
      </c>
      <c r="F444" s="56" t="e">
        <f>E444*'Wksht 3. Conversion Factors'!$B$107</f>
        <v>#DIV/0!</v>
      </c>
      <c r="G444" s="103"/>
      <c r="H444" s="44" t="e">
        <f>B444/'Wksht 3. Conversion Factors'!$B$98</f>
        <v>#DIV/0!</v>
      </c>
    </row>
    <row r="445" spans="1:8" ht="12.75">
      <c r="A445" s="436" t="s">
        <v>323</v>
      </c>
      <c r="B445" s="56" t="e">
        <f t="shared" si="13"/>
        <v>#DIV/0!</v>
      </c>
      <c r="C445" s="56" t="e">
        <f>B445/'Wksht 3. Conversion Factors'!$B$105</f>
        <v>#DIV/0!</v>
      </c>
      <c r="D445" s="56" t="e">
        <f>B445/'Wksht 3. Conversion Factors'!$B$104</f>
        <v>#DIV/0!</v>
      </c>
      <c r="E445" s="56" t="e">
        <f>D445/'Wksht 3. Conversion Factors'!$B$101</f>
        <v>#DIV/0!</v>
      </c>
      <c r="F445" s="56" t="e">
        <f>E445*'Wksht 3. Conversion Factors'!$B$107</f>
        <v>#DIV/0!</v>
      </c>
      <c r="G445" s="103"/>
      <c r="H445" s="44" t="e">
        <f>B445/'Wksht 3. Conversion Factors'!$B$98</f>
        <v>#DIV/0!</v>
      </c>
    </row>
    <row r="446" spans="1:8" s="8" customFormat="1" ht="12.75">
      <c r="A446" s="221" t="s">
        <v>86</v>
      </c>
      <c r="B446" s="257" t="str">
        <f aca="true" t="shared" si="14" ref="B446:B458">E351</f>
        <v>NA</v>
      </c>
      <c r="C446" s="257" t="s">
        <v>404</v>
      </c>
      <c r="D446" s="257" t="s">
        <v>404</v>
      </c>
      <c r="E446" s="257" t="s">
        <v>404</v>
      </c>
      <c r="F446" s="257" t="s">
        <v>404</v>
      </c>
      <c r="G446" s="103"/>
      <c r="H446" s="44" t="s">
        <v>404</v>
      </c>
    </row>
    <row r="447" spans="1:8" s="8" customFormat="1" ht="12.75">
      <c r="A447" s="221" t="s">
        <v>393</v>
      </c>
      <c r="B447" s="257" t="e">
        <f t="shared" si="14"/>
        <v>#DIV/0!</v>
      </c>
      <c r="C447" s="257" t="e">
        <f>B447/'Wksht 3. Conversion Factors'!$B$105</f>
        <v>#DIV/0!</v>
      </c>
      <c r="D447" s="257" t="e">
        <f>B447/'Wksht 3. Conversion Factors'!$B$104</f>
        <v>#DIV/0!</v>
      </c>
      <c r="E447" s="257" t="e">
        <f>D447/'Wksht 3. Conversion Factors'!$B$101</f>
        <v>#DIV/0!</v>
      </c>
      <c r="F447" s="257" t="e">
        <f>E447*'Wksht 3. Conversion Factors'!$B$107</f>
        <v>#DIV/0!</v>
      </c>
      <c r="G447" s="103"/>
      <c r="H447" s="44" t="e">
        <f>B447/'Wksht 3. Conversion Factors'!$B$98</f>
        <v>#DIV/0!</v>
      </c>
    </row>
    <row r="448" spans="1:8" s="8" customFormat="1" ht="12.75">
      <c r="A448" s="221" t="s">
        <v>407</v>
      </c>
      <c r="B448" s="257" t="e">
        <f t="shared" si="14"/>
        <v>#DIV/0!</v>
      </c>
      <c r="C448" s="257" t="e">
        <f>B448/'Wksht 3. Conversion Factors'!$B$105</f>
        <v>#DIV/0!</v>
      </c>
      <c r="D448" s="257" t="e">
        <f>B448/'Wksht 3. Conversion Factors'!$B$104</f>
        <v>#DIV/0!</v>
      </c>
      <c r="E448" s="257" t="e">
        <f>D448/'Wksht 3. Conversion Factors'!$B$101</f>
        <v>#DIV/0!</v>
      </c>
      <c r="F448" s="257" t="e">
        <f>E448*'Wksht 3. Conversion Factors'!$B$107</f>
        <v>#DIV/0!</v>
      </c>
      <c r="G448" s="103"/>
      <c r="H448" s="44" t="e">
        <f>B448/'Wksht 3. Conversion Factors'!$B$98</f>
        <v>#DIV/0!</v>
      </c>
    </row>
    <row r="449" spans="1:8" s="8" customFormat="1" ht="12.75">
      <c r="A449" s="221" t="s">
        <v>68</v>
      </c>
      <c r="B449" s="257" t="e">
        <f t="shared" si="14"/>
        <v>#DIV/0!</v>
      </c>
      <c r="C449" s="257" t="e">
        <f>B449/'Wksht 3. Conversion Factors'!$B$105</f>
        <v>#DIV/0!</v>
      </c>
      <c r="D449" s="257" t="e">
        <f>B449/'Wksht 3. Conversion Factors'!$B$104</f>
        <v>#DIV/0!</v>
      </c>
      <c r="E449" s="257" t="e">
        <f>D449/'Wksht 3. Conversion Factors'!$B$101</f>
        <v>#DIV/0!</v>
      </c>
      <c r="F449" s="257" t="e">
        <f>E449*'Wksht 3. Conversion Factors'!$B$107</f>
        <v>#DIV/0!</v>
      </c>
      <c r="G449" s="103"/>
      <c r="H449" s="44" t="e">
        <f>B449/'Wksht 3. Conversion Factors'!$B$98</f>
        <v>#DIV/0!</v>
      </c>
    </row>
    <row r="450" spans="1:8" s="8" customFormat="1" ht="12.75">
      <c r="A450" s="221" t="s">
        <v>144</v>
      </c>
      <c r="B450" s="257">
        <f t="shared" si="14"/>
        <v>0</v>
      </c>
      <c r="C450" s="257">
        <f>B450/'Wksht 3. Conversion Factors'!$B$105</f>
        <v>0</v>
      </c>
      <c r="D450" s="257">
        <f>B450/'Wksht 3. Conversion Factors'!$B$104</f>
        <v>0</v>
      </c>
      <c r="E450" s="257">
        <f>D450/'Wksht 3. Conversion Factors'!$B$101</f>
        <v>0</v>
      </c>
      <c r="F450" s="257">
        <f>E450*'Wksht 3. Conversion Factors'!$B$107</f>
        <v>0</v>
      </c>
      <c r="G450" s="103"/>
      <c r="H450" s="44">
        <f>B450/'Wksht 3. Conversion Factors'!$B$98</f>
        <v>0</v>
      </c>
    </row>
    <row r="451" spans="1:8" s="8" customFormat="1" ht="12.75">
      <c r="A451" s="221" t="s">
        <v>145</v>
      </c>
      <c r="B451" s="257" t="str">
        <f t="shared" si="14"/>
        <v>NA</v>
      </c>
      <c r="C451" s="257" t="s">
        <v>404</v>
      </c>
      <c r="D451" s="257" t="s">
        <v>404</v>
      </c>
      <c r="E451" s="257" t="s">
        <v>404</v>
      </c>
      <c r="F451" s="257" t="s">
        <v>404</v>
      </c>
      <c r="G451" s="103"/>
      <c r="H451" s="251" t="s">
        <v>404</v>
      </c>
    </row>
    <row r="452" spans="1:8" s="8" customFormat="1" ht="12.75">
      <c r="A452" s="221" t="s">
        <v>146</v>
      </c>
      <c r="B452" s="257" t="str">
        <f t="shared" si="14"/>
        <v>NA</v>
      </c>
      <c r="C452" s="257" t="s">
        <v>404</v>
      </c>
      <c r="D452" s="257" t="s">
        <v>404</v>
      </c>
      <c r="E452" s="257" t="s">
        <v>404</v>
      </c>
      <c r="F452" s="257" t="s">
        <v>404</v>
      </c>
      <c r="G452" s="103"/>
      <c r="H452" s="251" t="s">
        <v>404</v>
      </c>
    </row>
    <row r="453" spans="1:8" s="8" customFormat="1" ht="12.75">
      <c r="A453" s="221" t="s">
        <v>85</v>
      </c>
      <c r="B453" s="257" t="str">
        <f t="shared" si="14"/>
        <v>NA</v>
      </c>
      <c r="C453" s="257" t="s">
        <v>404</v>
      </c>
      <c r="D453" s="257" t="s">
        <v>404</v>
      </c>
      <c r="E453" s="257" t="s">
        <v>404</v>
      </c>
      <c r="F453" s="257" t="s">
        <v>404</v>
      </c>
      <c r="G453" s="103"/>
      <c r="H453" s="251" t="s">
        <v>404</v>
      </c>
    </row>
    <row r="454" spans="1:8" s="8" customFormat="1" ht="12.75">
      <c r="A454" s="221" t="s">
        <v>479</v>
      </c>
      <c r="B454" s="257" t="str">
        <f t="shared" si="14"/>
        <v>NA</v>
      </c>
      <c r="C454" s="257" t="s">
        <v>404</v>
      </c>
      <c r="D454" s="257" t="s">
        <v>404</v>
      </c>
      <c r="E454" s="257" t="s">
        <v>404</v>
      </c>
      <c r="F454" s="257" t="s">
        <v>404</v>
      </c>
      <c r="G454" s="103"/>
      <c r="H454" s="251" t="s">
        <v>404</v>
      </c>
    </row>
    <row r="455" spans="1:8" s="8" customFormat="1" ht="12.75">
      <c r="A455" s="221" t="s">
        <v>480</v>
      </c>
      <c r="B455" s="257" t="str">
        <f t="shared" si="14"/>
        <v>NA</v>
      </c>
      <c r="C455" s="257" t="s">
        <v>404</v>
      </c>
      <c r="D455" s="257" t="s">
        <v>404</v>
      </c>
      <c r="E455" s="257" t="s">
        <v>404</v>
      </c>
      <c r="F455" s="257" t="s">
        <v>404</v>
      </c>
      <c r="G455" s="103"/>
      <c r="H455" s="251" t="s">
        <v>404</v>
      </c>
    </row>
    <row r="456" spans="1:8" s="8" customFormat="1" ht="12.75">
      <c r="A456" s="221" t="s">
        <v>389</v>
      </c>
      <c r="B456" s="257" t="str">
        <f t="shared" si="14"/>
        <v>NA</v>
      </c>
      <c r="C456" s="257" t="s">
        <v>404</v>
      </c>
      <c r="D456" s="257" t="s">
        <v>404</v>
      </c>
      <c r="E456" s="257" t="s">
        <v>404</v>
      </c>
      <c r="F456" s="257" t="s">
        <v>404</v>
      </c>
      <c r="G456" s="103"/>
      <c r="H456" s="251" t="s">
        <v>404</v>
      </c>
    </row>
    <row r="457" spans="1:8" s="8" customFormat="1" ht="12.75">
      <c r="A457" s="221" t="s">
        <v>87</v>
      </c>
      <c r="B457" s="257" t="str">
        <f t="shared" si="14"/>
        <v>NA</v>
      </c>
      <c r="C457" s="257" t="s">
        <v>404</v>
      </c>
      <c r="D457" s="257" t="s">
        <v>404</v>
      </c>
      <c r="E457" s="257" t="s">
        <v>404</v>
      </c>
      <c r="F457" s="257" t="s">
        <v>404</v>
      </c>
      <c r="G457" s="103"/>
      <c r="H457" s="251" t="s">
        <v>404</v>
      </c>
    </row>
    <row r="458" spans="1:8" s="23" customFormat="1" ht="28.5" customHeight="1" thickBot="1">
      <c r="A458" s="492" t="s">
        <v>424</v>
      </c>
      <c r="B458" s="496" t="e">
        <f t="shared" si="14"/>
        <v>#DIV/0!</v>
      </c>
      <c r="C458" s="496" t="e">
        <f>B458/'Wksht 3. Conversion Factors'!$B$105</f>
        <v>#DIV/0!</v>
      </c>
      <c r="D458" s="496" t="e">
        <f>B458/'Wksht 3. Conversion Factors'!$B$104</f>
        <v>#DIV/0!</v>
      </c>
      <c r="E458" s="496" t="e">
        <f>D458/'Wksht 3. Conversion Factors'!$B$101</f>
        <v>#DIV/0!</v>
      </c>
      <c r="F458" s="496" t="e">
        <f>E458*'Wksht 3. Conversion Factors'!$B$107</f>
        <v>#DIV/0!</v>
      </c>
      <c r="G458" s="518"/>
      <c r="H458" s="497" t="e">
        <f>B458/'Wksht 3. Conversion Factors'!$B$98</f>
        <v>#DIV/0!</v>
      </c>
    </row>
    <row r="459" spans="1:8" s="8" customFormat="1" ht="12.75">
      <c r="A459" s="217"/>
      <c r="B459" s="18"/>
      <c r="C459" s="21"/>
      <c r="D459" s="4"/>
      <c r="E459" s="14"/>
      <c r="F459" s="14"/>
      <c r="G459" s="14"/>
      <c r="H459" s="14"/>
    </row>
    <row r="460" spans="1:8" s="8" customFormat="1" ht="12.75">
      <c r="A460" s="224" t="s">
        <v>438</v>
      </c>
      <c r="B460" s="33"/>
      <c r="C460" s="33"/>
      <c r="D460" s="33"/>
      <c r="E460" s="30"/>
      <c r="F460" s="30"/>
      <c r="G460" s="30"/>
      <c r="H460" s="33"/>
    </row>
    <row r="461" spans="1:8" s="8" customFormat="1" ht="12.75">
      <c r="A461" s="33" t="str">
        <f>'Wksht 3. Conversion Factors'!B91</f>
        <v>U.S. EPA. "WARM Online, Version 8." (June 2006). 26 June 06 http://yosemite.epa.gov/oar/globalwarming.nsf/WARM.</v>
      </c>
      <c r="B461" s="33"/>
      <c r="C461" s="33"/>
      <c r="D461" s="33"/>
      <c r="E461" s="30"/>
      <c r="F461" s="30"/>
      <c r="G461" s="30"/>
      <c r="H461" s="22"/>
    </row>
    <row r="462" spans="1:8" s="8" customFormat="1" ht="27" customHeight="1">
      <c r="A462" s="585" t="str">
        <f>'Wksht 3. Conversion Factors'!B92</f>
        <v>U.S. EPA. "Solid Waste Management and Greenhouse Gases: A Life-Cycle Assessment of Emissions and Sinks. 2nd edition." EPA 530-R-02-006. 11 Nov 2005 http://www.epa.gov/epaoswer/non-hw/muncpl/ghg/ghg.htm. </v>
      </c>
      <c r="B462" s="571"/>
      <c r="C462" s="571"/>
      <c r="D462" s="571"/>
      <c r="E462" s="571"/>
      <c r="F462" s="571"/>
      <c r="G462" s="571"/>
      <c r="H462" s="571"/>
    </row>
    <row r="463" spans="1:8" s="8" customFormat="1" ht="27.75" customHeight="1">
      <c r="A463" s="585" t="str">
        <f>'Wksht 3. Conversion Factors'!D98</f>
        <v>U.S. Department of Energy. Office of Energy Efficiency and Renewable Energy.  "2005 Buildings Energy Databook: 1.2.4 Residential Delivered and Primary Energy Consumption Intensities, by Year." (2006). 18 Jan 06 http://btscoredatabook.eren.doe.gov/docs/1.2.4.pdf.</v>
      </c>
      <c r="B463" s="571"/>
      <c r="C463" s="571"/>
      <c r="D463" s="571"/>
      <c r="E463" s="571"/>
      <c r="F463" s="571"/>
      <c r="G463" s="571"/>
      <c r="H463" s="571"/>
    </row>
    <row r="464" spans="1:8" s="8" customFormat="1" ht="27.75" customHeight="1">
      <c r="A464" s="621" t="str">
        <f>'Wksht 3. Conversion Factors'!D101</f>
        <v>Federal Highway Administration (FHWA). "Table VM-1: Annual Vehicle Distance Traveled in Miles and Related Data- 2004".  (2006) 1 Sept 06 http://www.fhwa.dot.gov/policy/ohim/hs04/pdf/vm1.pdf.</v>
      </c>
      <c r="B464" s="571"/>
      <c r="C464" s="571"/>
      <c r="D464" s="571"/>
      <c r="E464" s="571"/>
      <c r="F464" s="571"/>
      <c r="G464" s="571"/>
      <c r="H464" s="571"/>
    </row>
    <row r="465" spans="1:8" s="8" customFormat="1" ht="24.75" customHeight="1">
      <c r="A465" s="621" t="str">
        <f>'Wksht 3. Conversion Factors'!D102</f>
        <v>Energy Information Adminstration (EIA).  "Annual Energy Review 2005: Table A3: Approximate Heat Content of Petroleum Consumption, Selected Years, 1949-2005."  (2006). 1 Sept 06 http://www.eia.doe.gov/emeu/aer/pdf/pages/sec13_3.pdf.  </v>
      </c>
      <c r="B465" s="571"/>
      <c r="C465" s="571"/>
      <c r="D465" s="571"/>
      <c r="E465" s="571"/>
      <c r="F465" s="571"/>
      <c r="G465" s="571"/>
      <c r="H465" s="571"/>
    </row>
    <row r="466" spans="1:8" s="8" customFormat="1" ht="55.5" customHeight="1">
      <c r="A466" s="623" t="str">
        <f>'Wksht 3. Conversion Factors'!D105</f>
        <v>U.S. EPA and ICF Consulting Group. "Waste Management and Energy Savings: Benefits by the Numbers."  (2005). 18 Jan 06 http://yosemite.epa.gov/OAR/globalwarming.nsf/UniqueKeyLookup/TMAL6GDR3K/$File/Energy%20Savings.pdf. Another source: Energy Information Adminstration (EIA).  "Annual Energy Review 2005: Table A2: Approximate Heat Content of Petroleum Production, Imports, and Exports, Selected Years, 1949-2005." (2006). 1 Sept 06  http://www.eia.doe.gov/emeu/aer/pdf/pages/sec13_2.pdf.  </v>
      </c>
      <c r="B466" s="571"/>
      <c r="C466" s="571"/>
      <c r="D466" s="571"/>
      <c r="E466" s="571"/>
      <c r="F466" s="571"/>
      <c r="G466" s="571"/>
      <c r="H466" s="571"/>
    </row>
    <row r="467" spans="1:8" s="8" customFormat="1" ht="12.75">
      <c r="A467" s="623" t="str">
        <f>'Wksht 3. Conversion Factors'!D107</f>
        <v>U.S. Climate Technology Cooperation Gateway. "Greenhouse Gas Equivalencies Calculator." 18 Jan 06 http://www.usctcgateway.net/tool/.</v>
      </c>
      <c r="B467" s="571"/>
      <c r="C467" s="571"/>
      <c r="D467" s="571"/>
      <c r="E467" s="571"/>
      <c r="F467" s="571"/>
      <c r="G467" s="571"/>
      <c r="H467" s="571"/>
    </row>
    <row r="468" spans="1:8" s="8" customFormat="1" ht="18">
      <c r="A468" s="16" t="s">
        <v>262</v>
      </c>
      <c r="D468" s="12"/>
      <c r="E468" s="12"/>
      <c r="F468" s="13"/>
      <c r="G468" s="13"/>
      <c r="H468" s="14"/>
    </row>
    <row r="469" spans="1:8" s="8" customFormat="1" ht="12.75">
      <c r="A469" s="234" t="s">
        <v>26</v>
      </c>
      <c r="D469" s="12"/>
      <c r="E469" s="12"/>
      <c r="F469" s="13"/>
      <c r="G469" s="13"/>
      <c r="H469" s="14"/>
    </row>
    <row r="470" spans="1:8" s="8" customFormat="1" ht="13.5" thickBot="1">
      <c r="A470" s="217"/>
      <c r="E470" s="10"/>
      <c r="F470" s="10"/>
      <c r="G470" s="10"/>
      <c r="H470" s="14"/>
    </row>
    <row r="471" spans="1:8" s="33" customFormat="1" ht="67.5" customHeight="1">
      <c r="A471" s="235"/>
      <c r="B471" s="53" t="s">
        <v>435</v>
      </c>
      <c r="C471" s="546" t="s">
        <v>251</v>
      </c>
      <c r="D471" s="546" t="s">
        <v>287</v>
      </c>
      <c r="E471" s="610" t="s">
        <v>250</v>
      </c>
      <c r="F471" s="27"/>
      <c r="G471" s="27"/>
      <c r="H471" s="27"/>
    </row>
    <row r="472" spans="1:8" s="33" customFormat="1" ht="12.75">
      <c r="A472" s="236" t="s">
        <v>430</v>
      </c>
      <c r="B472" s="54" t="str">
        <f>'Wksht 1. Data Inputs'!B15</f>
        <v>potential 2003 waste comp</v>
      </c>
      <c r="C472" s="622"/>
      <c r="D472" s="622"/>
      <c r="E472" s="611"/>
      <c r="F472" s="30"/>
      <c r="G472" s="36"/>
      <c r="H472" s="27"/>
    </row>
    <row r="473" spans="1:8" s="33" customFormat="1" ht="12.75">
      <c r="A473" s="221" t="s">
        <v>373</v>
      </c>
      <c r="B473" s="42">
        <f>B15</f>
        <v>48844</v>
      </c>
      <c r="C473" s="56">
        <f>B473*(VLOOKUP(A473,'Wksht 3. Conversion Factors'!$A$55:$F$89,3,FALSE))</f>
        <v>-10082486.890410088</v>
      </c>
      <c r="D473" s="56" t="e">
        <f>B473*((VLOOKUP(A473,'Wksht 3. Conversion Factors'!$A$55:$F$89,5,FALSE)*'Wksht 4. Calculations'!$B$15)+(VLOOKUP(A473,'Wksht 3. Conversion Factors'!$A$55:$F$89,6,FALSE)*'Wksht 4. Calculations'!$B$16))</f>
        <v>#DIV/0!</v>
      </c>
      <c r="E473" s="256" t="e">
        <f>C473-D473</f>
        <v>#DIV/0!</v>
      </c>
      <c r="F473" s="27"/>
      <c r="G473" s="27"/>
      <c r="H473" s="27"/>
    </row>
    <row r="474" spans="1:8" s="33" customFormat="1" ht="12.75">
      <c r="A474" s="221" t="s">
        <v>374</v>
      </c>
      <c r="B474" s="42">
        <f aca="true" t="shared" si="15" ref="B474:B507">B16</f>
        <v>102532</v>
      </c>
      <c r="C474" s="56">
        <f>B474*(VLOOKUP(A474,'Wksht 3. Conversion Factors'!$A$55:$F$89,3,FALSE))</f>
        <v>-2047174.5258219875</v>
      </c>
      <c r="D474" s="56" t="e">
        <f>B474*((VLOOKUP(A474,'Wksht 3. Conversion Factors'!$A$55:$F$89,5,FALSE)*'Wksht 4. Calculations'!$B$15)+(VLOOKUP(A474,'Wksht 3. Conversion Factors'!$A$55:$F$89,6,FALSE)*'Wksht 4. Calculations'!$B$16))</f>
        <v>#DIV/0!</v>
      </c>
      <c r="E474" s="256" t="e">
        <f aca="true" t="shared" si="16" ref="E474:E490">C474-D474</f>
        <v>#DIV/0!</v>
      </c>
      <c r="F474" s="27"/>
      <c r="G474" s="27"/>
      <c r="H474" s="27"/>
    </row>
    <row r="475" spans="1:8" s="33" customFormat="1" ht="12.75">
      <c r="A475" s="221" t="s">
        <v>375</v>
      </c>
      <c r="B475" s="42">
        <f t="shared" si="15"/>
        <v>234629</v>
      </c>
      <c r="C475" s="56">
        <f>B475*(VLOOKUP(A475,'Wksht 3. Conversion Factors'!$A$55:$F$89,3,FALSE))</f>
        <v>-498682.7805862249</v>
      </c>
      <c r="D475" s="56" t="e">
        <f>B475*((VLOOKUP(A475,'Wksht 3. Conversion Factors'!$A$55:$F$89,5,FALSE)*'Wksht 4. Calculations'!$B$15)+(VLOOKUP(A475,'Wksht 3. Conversion Factors'!$A$55:$F$89,6,FALSE)*'Wksht 4. Calculations'!$B$16))</f>
        <v>#DIV/0!</v>
      </c>
      <c r="E475" s="256" t="e">
        <f t="shared" si="16"/>
        <v>#DIV/0!</v>
      </c>
      <c r="F475" s="27"/>
      <c r="G475" s="27"/>
      <c r="H475" s="27"/>
    </row>
    <row r="476" spans="1:8" s="33" customFormat="1" ht="12.75">
      <c r="A476" s="221" t="s">
        <v>376</v>
      </c>
      <c r="B476" s="42">
        <f t="shared" si="15"/>
        <v>68082</v>
      </c>
      <c r="C476" s="56">
        <f>B476*(VLOOKUP(A476,'Wksht 3. Conversion Factors'!$A$55:$F$89,3,FALSE))</f>
        <v>-3465648.0318474327</v>
      </c>
      <c r="D476" s="56" t="e">
        <f>B476*((VLOOKUP(A476,'Wksht 3. Conversion Factors'!$A$55:$F$89,5,FALSE)*'Wksht 4. Calculations'!$B$15)+(VLOOKUP(A476,'Wksht 3. Conversion Factors'!$A$55:$F$89,6,FALSE)*'Wksht 4. Calculations'!$B$16))</f>
        <v>#DIV/0!</v>
      </c>
      <c r="E476" s="256" t="e">
        <f t="shared" si="16"/>
        <v>#DIV/0!</v>
      </c>
      <c r="F476" s="27"/>
      <c r="G476" s="27"/>
      <c r="H476" s="27"/>
    </row>
    <row r="477" spans="1:8" s="33" customFormat="1" ht="12.75">
      <c r="A477" s="221" t="s">
        <v>377</v>
      </c>
      <c r="B477" s="42">
        <f t="shared" si="15"/>
        <v>0</v>
      </c>
      <c r="C477" s="56">
        <f>B477*(VLOOKUP(A477,'Wksht 3. Conversion Factors'!$A$55:$F$89,3,FALSE))</f>
        <v>0</v>
      </c>
      <c r="D477" s="56" t="e">
        <f>B477*((VLOOKUP(A477,'Wksht 3. Conversion Factors'!$A$55:$F$89,5,FALSE)*'Wksht 4. Calculations'!$B$15)+(VLOOKUP(A477,'Wksht 3. Conversion Factors'!$A$55:$F$89,6,FALSE)*'Wksht 4. Calculations'!$B$16))</f>
        <v>#DIV/0!</v>
      </c>
      <c r="E477" s="256" t="e">
        <f t="shared" si="16"/>
        <v>#DIV/0!</v>
      </c>
      <c r="F477" s="27"/>
      <c r="G477" s="27"/>
      <c r="H477" s="27"/>
    </row>
    <row r="478" spans="1:8" s="33" customFormat="1" ht="12.75">
      <c r="A478" s="221" t="s">
        <v>378</v>
      </c>
      <c r="B478" s="42">
        <f t="shared" si="15"/>
        <v>87601</v>
      </c>
      <c r="C478" s="56">
        <f>B478*(VLOOKUP(A478,'Wksht 3. Conversion Factors'!$A$55:$F$89,3,FALSE))</f>
        <v>-4628131.337811702</v>
      </c>
      <c r="D478" s="56" t="e">
        <f>B478*((VLOOKUP(A478,'Wksht 3. Conversion Factors'!$A$55:$F$89,5,FALSE)*'Wksht 4. Calculations'!$B$15)+(VLOOKUP(A478,'Wksht 3. Conversion Factors'!$A$55:$F$89,6,FALSE)*'Wksht 4. Calculations'!$B$16))</f>
        <v>#DIV/0!</v>
      </c>
      <c r="E478" s="256" t="e">
        <f t="shared" si="16"/>
        <v>#DIV/0!</v>
      </c>
      <c r="F478" s="27"/>
      <c r="G478" s="27"/>
      <c r="H478" s="27"/>
    </row>
    <row r="479" spans="1:8" s="33" customFormat="1" ht="12.75">
      <c r="A479" s="221" t="s">
        <v>372</v>
      </c>
      <c r="B479" s="42">
        <f t="shared" si="15"/>
        <v>785032</v>
      </c>
      <c r="C479" s="56">
        <f>B479*(VLOOKUP(A479,'Wksht 3. Conversion Factors'!$A$55:$F$89,3,FALSE))</f>
        <v>-12103751.065380799</v>
      </c>
      <c r="D479" s="56" t="e">
        <f>B479*((VLOOKUP(A479,'Wksht 3. Conversion Factors'!$A$55:$F$89,5,FALSE)*'Wksht 4. Calculations'!$B$15)+(VLOOKUP(A479,'Wksht 3. Conversion Factors'!$A$55:$F$89,6,FALSE)*'Wksht 4. Calculations'!$B$16))</f>
        <v>#DIV/0!</v>
      </c>
      <c r="E479" s="256" t="e">
        <f t="shared" si="16"/>
        <v>#DIV/0!</v>
      </c>
      <c r="F479" s="27"/>
      <c r="G479" s="27"/>
      <c r="H479" s="27"/>
    </row>
    <row r="480" spans="1:8" s="33" customFormat="1" ht="12.75">
      <c r="A480" s="221" t="s">
        <v>476</v>
      </c>
      <c r="B480" s="42">
        <f t="shared" si="15"/>
        <v>251027</v>
      </c>
      <c r="C480" s="56">
        <f>B480*(VLOOKUP(A480,'Wksht 3. Conversion Factors'!$A$55:$F$89,3,FALSE))</f>
        <v>-172117.0431160179</v>
      </c>
      <c r="D480" s="56" t="e">
        <f>B480*((VLOOKUP(A480,'Wksht 3. Conversion Factors'!$A$55:$F$89,5,FALSE)*'Wksht 4. Calculations'!$B$15)+(VLOOKUP(A480,'Wksht 3. Conversion Factors'!$A$55:$F$89,6,FALSE)*'Wksht 4. Calculations'!$B$16))</f>
        <v>#DIV/0!</v>
      </c>
      <c r="E480" s="256" t="e">
        <f t="shared" si="16"/>
        <v>#DIV/0!</v>
      </c>
      <c r="F480" s="27"/>
      <c r="G480" s="27"/>
      <c r="H480" s="27"/>
    </row>
    <row r="481" spans="1:8" s="33" customFormat="1" ht="12.75">
      <c r="A481" s="221" t="s">
        <v>370</v>
      </c>
      <c r="B481" s="42">
        <f t="shared" si="15"/>
        <v>389263</v>
      </c>
      <c r="C481" s="56">
        <f>B481*(VLOOKUP(A481,'Wksht 3. Conversion Factors'!$A$55:$F$89,3,FALSE))</f>
        <v>-6417370.720006769</v>
      </c>
      <c r="D481" s="56" t="e">
        <f>B481*((VLOOKUP(A481,'Wksht 3. Conversion Factors'!$A$55:$F$89,5,FALSE)*'Wksht 4. Calculations'!$B$15)+(VLOOKUP(A481,'Wksht 3. Conversion Factors'!$A$55:$F$89,6,FALSE)*'Wksht 4. Calculations'!$B$16))</f>
        <v>#DIV/0!</v>
      </c>
      <c r="E481" s="256" t="e">
        <f t="shared" si="16"/>
        <v>#DIV/0!</v>
      </c>
      <c r="F481" s="27"/>
      <c r="G481" s="27"/>
      <c r="H481" s="27"/>
    </row>
    <row r="482" spans="1:8" s="33" customFormat="1" ht="12.75">
      <c r="A482" s="221" t="s">
        <v>371</v>
      </c>
      <c r="B482" s="42">
        <f t="shared" si="15"/>
        <v>341975</v>
      </c>
      <c r="C482" s="56">
        <f>B482*(VLOOKUP(A482,'Wksht 3. Conversion Factors'!$A$55:$F$89,3,FALSE))</f>
        <v>-3447462.707308211</v>
      </c>
      <c r="D482" s="56" t="e">
        <f>B482*((VLOOKUP(A482,'Wksht 3. Conversion Factors'!$A$55:$F$89,5,FALSE)*'Wksht 4. Calculations'!$B$15)+(VLOOKUP(A482,'Wksht 3. Conversion Factors'!$A$55:$F$89,6,FALSE)*'Wksht 4. Calculations'!$B$16))</f>
        <v>#DIV/0!</v>
      </c>
      <c r="E482" s="256" t="e">
        <f t="shared" si="16"/>
        <v>#DIV/0!</v>
      </c>
      <c r="F482" s="27"/>
      <c r="G482" s="27"/>
      <c r="H482" s="27"/>
    </row>
    <row r="483" spans="1:8" s="33" customFormat="1" ht="12.75">
      <c r="A483" s="221" t="s">
        <v>477</v>
      </c>
      <c r="B483" s="42">
        <f t="shared" si="15"/>
        <v>0</v>
      </c>
      <c r="C483" s="56">
        <f>B483*(VLOOKUP(A483,'Wksht 3. Conversion Factors'!$A$55:$F$89,3,FALSE))</f>
        <v>0</v>
      </c>
      <c r="D483" s="56" t="e">
        <f>B483*((VLOOKUP(A483,'Wksht 3. Conversion Factors'!$A$55:$F$89,5,FALSE)*'Wksht 4. Calculations'!$B$15)+(VLOOKUP(A483,'Wksht 3. Conversion Factors'!$A$55:$F$89,6,FALSE)*'Wksht 4. Calculations'!$B$16))</f>
        <v>#DIV/0!</v>
      </c>
      <c r="E483" s="256" t="e">
        <f t="shared" si="16"/>
        <v>#DIV/0!</v>
      </c>
      <c r="F483" s="27"/>
      <c r="G483" s="27"/>
      <c r="H483" s="27"/>
    </row>
    <row r="484" spans="1:8" s="33" customFormat="1" ht="12.75">
      <c r="A484" s="221" t="s">
        <v>478</v>
      </c>
      <c r="B484" s="42">
        <f t="shared" si="15"/>
        <v>0</v>
      </c>
      <c r="C484" s="56">
        <f>B484*(VLOOKUP(A484,'Wksht 3. Conversion Factors'!$A$55:$F$89,3,FALSE))</f>
        <v>0</v>
      </c>
      <c r="D484" s="56" t="e">
        <f>B484*((VLOOKUP(A484,'Wksht 3. Conversion Factors'!$A$55:$F$89,5,FALSE)*'Wksht 4. Calculations'!$B$15)+(VLOOKUP(A484,'Wksht 3. Conversion Factors'!$A$55:$F$89,6,FALSE)*'Wksht 4. Calculations'!$B$16))</f>
        <v>#DIV/0!</v>
      </c>
      <c r="E484" s="256" t="e">
        <f t="shared" si="16"/>
        <v>#DIV/0!</v>
      </c>
      <c r="F484" s="27"/>
      <c r="G484" s="27"/>
      <c r="H484" s="27"/>
    </row>
    <row r="485" spans="1:8" s="33" customFormat="1" ht="12.75">
      <c r="A485" s="221" t="s">
        <v>149</v>
      </c>
      <c r="B485" s="42">
        <f t="shared" si="15"/>
        <v>0</v>
      </c>
      <c r="C485" s="56">
        <f>B485*(VLOOKUP(A485,'Wksht 3. Conversion Factors'!$A$55:$F$89,3,FALSE))</f>
        <v>0</v>
      </c>
      <c r="D485" s="56" t="e">
        <f>B485*((VLOOKUP(A485,'Wksht 3. Conversion Factors'!$A$55:$F$89,5,FALSE)*'Wksht 4. Calculations'!$B$15)+(VLOOKUP(A485,'Wksht 3. Conversion Factors'!$A$55:$F$89,6,FALSE)*'Wksht 4. Calculations'!$B$16))</f>
        <v>#DIV/0!</v>
      </c>
      <c r="E485" s="256" t="e">
        <f>C485-D485</f>
        <v>#DIV/0!</v>
      </c>
      <c r="F485" s="27"/>
      <c r="G485" s="27"/>
      <c r="H485" s="27"/>
    </row>
    <row r="486" spans="1:8" s="33" customFormat="1" ht="12.75">
      <c r="A486" s="221" t="s">
        <v>379</v>
      </c>
      <c r="B486" s="42">
        <f t="shared" si="15"/>
        <v>0</v>
      </c>
      <c r="C486" s="56">
        <f>B486*(VLOOKUP(A486,'Wksht 3. Conversion Factors'!$A$55:$F$89,4,FALSE))</f>
        <v>0</v>
      </c>
      <c r="D486" s="56" t="e">
        <f>B486*((VLOOKUP(A486,'Wksht 3. Conversion Factors'!$A$55:$F$89,5,FALSE)*'Wksht 4. Calculations'!$B$15)+(VLOOKUP(A486,'Wksht 3. Conversion Factors'!$A$55:$F$89,6,FALSE)*'Wksht 4. Calculations'!$B$16))</f>
        <v>#DIV/0!</v>
      </c>
      <c r="E486" s="256" t="e">
        <f t="shared" si="16"/>
        <v>#DIV/0!</v>
      </c>
      <c r="F486" s="27"/>
      <c r="G486" s="27"/>
      <c r="H486" s="27"/>
    </row>
    <row r="487" spans="1:8" s="33" customFormat="1" ht="12.75">
      <c r="A487" s="221" t="s">
        <v>380</v>
      </c>
      <c r="B487" s="42">
        <f t="shared" si="15"/>
        <v>0</v>
      </c>
      <c r="C487" s="56">
        <f>B487*(VLOOKUP(A487,'Wksht 3. Conversion Factors'!$A$55:$F$89,4,FALSE))</f>
        <v>0</v>
      </c>
      <c r="D487" s="56" t="e">
        <f>B487*((VLOOKUP(A487,'Wksht 3. Conversion Factors'!$A$55:$F$89,5,FALSE)*'Wksht 4. Calculations'!$B$15)+(VLOOKUP(A487,'Wksht 3. Conversion Factors'!$A$55:$F$89,6,FALSE)*'Wksht 4. Calculations'!$B$16))</f>
        <v>#DIV/0!</v>
      </c>
      <c r="E487" s="256" t="e">
        <f t="shared" si="16"/>
        <v>#DIV/0!</v>
      </c>
      <c r="F487" s="27"/>
      <c r="G487" s="27"/>
      <c r="H487" s="27"/>
    </row>
    <row r="488" spans="1:8" s="33" customFormat="1" ht="12.75">
      <c r="A488" s="221" t="s">
        <v>408</v>
      </c>
      <c r="B488" s="42">
        <f t="shared" si="15"/>
        <v>0</v>
      </c>
      <c r="C488" s="56">
        <f>B488*(VLOOKUP(A488,'Wksht 3. Conversion Factors'!$A$55:$F$89,4,FALSE))</f>
        <v>0</v>
      </c>
      <c r="D488" s="56" t="e">
        <f>B488*((VLOOKUP(A488,'Wksht 3. Conversion Factors'!$A$55:$F$89,5,FALSE)*'Wksht 4. Calculations'!$B$15)+(VLOOKUP(A488,'Wksht 3. Conversion Factors'!$A$55:$F$89,6,FALSE)*'Wksht 4. Calculations'!$B$16))</f>
        <v>#DIV/0!</v>
      </c>
      <c r="E488" s="256" t="e">
        <f t="shared" si="16"/>
        <v>#DIV/0!</v>
      </c>
      <c r="F488" s="27"/>
      <c r="G488" s="27"/>
      <c r="H488" s="27"/>
    </row>
    <row r="489" spans="1:8" s="33" customFormat="1" ht="12.75">
      <c r="A489" s="221" t="s">
        <v>409</v>
      </c>
      <c r="B489" s="42">
        <f t="shared" si="15"/>
        <v>0</v>
      </c>
      <c r="C489" s="56">
        <f>B489*(VLOOKUP(A489,'Wksht 3. Conversion Factors'!$A$55:$F$89,4,FALSE))</f>
        <v>0</v>
      </c>
      <c r="D489" s="56" t="e">
        <f>B489*((VLOOKUP(A489,'Wksht 3. Conversion Factors'!$A$55:$F$89,5,FALSE)*'Wksht 4. Calculations'!$B$15)+(VLOOKUP(A489,'Wksht 3. Conversion Factors'!$A$55:$F$89,6,FALSE)*'Wksht 4. Calculations'!$B$16))</f>
        <v>#DIV/0!</v>
      </c>
      <c r="E489" s="256" t="e">
        <f t="shared" si="16"/>
        <v>#DIV/0!</v>
      </c>
      <c r="F489" s="27"/>
      <c r="G489" s="27"/>
      <c r="H489" s="27"/>
    </row>
    <row r="490" spans="1:8" s="33" customFormat="1" ht="12.75">
      <c r="A490" s="221" t="s">
        <v>410</v>
      </c>
      <c r="B490" s="42">
        <f t="shared" si="15"/>
        <v>0</v>
      </c>
      <c r="C490" s="56">
        <f>B490*(VLOOKUP(A490,'Wksht 3. Conversion Factors'!$A$55:$F$89,4,FALSE))</f>
        <v>0</v>
      </c>
      <c r="D490" s="56" t="e">
        <f>B490*((VLOOKUP(A490,'Wksht 3. Conversion Factors'!$A$55:$F$89,5,FALSE)*'Wksht 4. Calculations'!$B$15)+(VLOOKUP(A490,'Wksht 3. Conversion Factors'!$A$55:$F$89,6,FALSE)*'Wksht 4. Calculations'!$B$16))</f>
        <v>#DIV/0!</v>
      </c>
      <c r="E490" s="256" t="e">
        <f t="shared" si="16"/>
        <v>#DIV/0!</v>
      </c>
      <c r="F490" s="27"/>
      <c r="G490" s="27"/>
      <c r="H490" s="27"/>
    </row>
    <row r="491" spans="1:8" s="33" customFormat="1" ht="12.75">
      <c r="A491" s="221" t="s">
        <v>88</v>
      </c>
      <c r="B491" s="42">
        <f t="shared" si="15"/>
        <v>282131</v>
      </c>
      <c r="C491" s="56">
        <f>B491*(VLOOKUP(A491,'Wksht 3. Conversion Factors'!$A$55:$F$89,3,FALSE))</f>
        <v>-5633084.267786478</v>
      </c>
      <c r="D491" s="56" t="e">
        <f>B491*((VLOOKUP(A491,'Wksht 3. Conversion Factors'!$A$55:$F$89,5,FALSE)*'Wksht 4. Calculations'!$B$15)+(VLOOKUP(A491,'Wksht 3. Conversion Factors'!$A$55:$F$89,6,FALSE)*'Wksht 4. Calculations'!$B$16))</f>
        <v>#DIV/0!</v>
      </c>
      <c r="E491" s="256" t="e">
        <f>C491-D491</f>
        <v>#DIV/0!</v>
      </c>
      <c r="F491" s="27"/>
      <c r="G491" s="27"/>
      <c r="H491" s="27"/>
    </row>
    <row r="492" spans="1:8" s="33" customFormat="1" ht="12.75">
      <c r="A492" s="221" t="s">
        <v>322</v>
      </c>
      <c r="B492" s="42">
        <f t="shared" si="15"/>
        <v>43057</v>
      </c>
      <c r="C492" s="56">
        <f>B492*(VLOOKUP(A492,'Wksht 3. Conversion Factors'!$A$55:$F$89,3,FALSE))</f>
        <v>-8887921.50602709</v>
      </c>
      <c r="D492" s="56" t="e">
        <f>B492*((VLOOKUP(A492,'Wksht 3. Conversion Factors'!$A$55:$F$89,5,FALSE)*'Wksht 4. Calculations'!$B$15)+(VLOOKUP(A492,'Wksht 3. Conversion Factors'!$A$55:$F$89,6,FALSE)*'Wksht 4. Calculations'!$B$16))</f>
        <v>#DIV/0!</v>
      </c>
      <c r="E492" s="256" t="e">
        <f>C492-D492</f>
        <v>#DIV/0!</v>
      </c>
      <c r="F492" s="27"/>
      <c r="G492" s="27"/>
      <c r="H492" s="27"/>
    </row>
    <row r="493" spans="1:8" s="33" customFormat="1" ht="12.75">
      <c r="A493" s="221" t="s">
        <v>321</v>
      </c>
      <c r="B493" s="42">
        <f t="shared" si="15"/>
        <v>0</v>
      </c>
      <c r="C493" s="56">
        <f>B493*(VLOOKUP(A493,'Wksht 3. Conversion Factors'!$A$55:$F$89,3,FALSE))</f>
        <v>0</v>
      </c>
      <c r="D493" s="56" t="e">
        <f>B493*((VLOOKUP(A493,'Wksht 3. Conversion Factors'!$A$55:$F$89,5,FALSE)*'Wksht 4. Calculations'!$B$15)+(VLOOKUP(A493,'Wksht 3. Conversion Factors'!$A$55:$F$89,6,FALSE)*'Wksht 4. Calculations'!$B$16))</f>
        <v>#DIV/0!</v>
      </c>
      <c r="E493" s="256" t="e">
        <f>C493-D493</f>
        <v>#DIV/0!</v>
      </c>
      <c r="F493" s="27"/>
      <c r="G493" s="27"/>
      <c r="H493" s="27"/>
    </row>
    <row r="494" spans="1:5" ht="12.75">
      <c r="A494" s="436" t="s">
        <v>323</v>
      </c>
      <c r="B494" s="42">
        <f t="shared" si="15"/>
        <v>0</v>
      </c>
      <c r="C494" s="56">
        <f>B494*(VLOOKUP(A494,'Wksht 3. Conversion Factors'!$A$55:$F$89,3,FALSE))</f>
        <v>0</v>
      </c>
      <c r="D494" s="56" t="e">
        <f>B494*((VLOOKUP(A494,'Wksht 3. Conversion Factors'!$A$55:$F$89,5,FALSE)*'Wksht 4. Calculations'!$B$15)+(VLOOKUP(A494,'Wksht 3. Conversion Factors'!$A$55:$F$89,6,FALSE)*'Wksht 4. Calculations'!$B$16))</f>
        <v>#DIV/0!</v>
      </c>
      <c r="E494" s="256" t="e">
        <f>C494-D494</f>
        <v>#DIV/0!</v>
      </c>
    </row>
    <row r="495" spans="1:8" s="33" customFormat="1" ht="12.75">
      <c r="A495" s="221" t="s">
        <v>86</v>
      </c>
      <c r="B495" s="42">
        <f t="shared" si="15"/>
        <v>0</v>
      </c>
      <c r="C495" s="56" t="s">
        <v>404</v>
      </c>
      <c r="D495" s="56" t="s">
        <v>404</v>
      </c>
      <c r="E495" s="256" t="s">
        <v>404</v>
      </c>
      <c r="F495" s="27"/>
      <c r="G495" s="27"/>
      <c r="H495" s="27"/>
    </row>
    <row r="496" spans="1:8" s="33" customFormat="1" ht="12.75">
      <c r="A496" s="221" t="s">
        <v>393</v>
      </c>
      <c r="B496" s="42">
        <f t="shared" si="15"/>
        <v>0</v>
      </c>
      <c r="C496" s="56">
        <f>B496*(VLOOKUP(A496,'Wksht 3. Conversion Factors'!$A$55:$F$89,3,FALSE))</f>
        <v>0</v>
      </c>
      <c r="D496" s="56" t="e">
        <f>B496*((VLOOKUP(A496,'Wksht 3. Conversion Factors'!$A$55:$F$89,5,FALSE)*'Wksht 4. Calculations'!$B$15)+(VLOOKUP(A496,'Wksht 3. Conversion Factors'!$A$55:$F$89,6,FALSE)*'Wksht 4. Calculations'!$B$16))</f>
        <v>#DIV/0!</v>
      </c>
      <c r="E496" s="256" t="e">
        <f>C496-D496</f>
        <v>#DIV/0!</v>
      </c>
      <c r="F496" s="27"/>
      <c r="G496" s="27"/>
      <c r="H496" s="27"/>
    </row>
    <row r="497" spans="1:8" s="33" customFormat="1" ht="12.75">
      <c r="A497" s="221" t="s">
        <v>407</v>
      </c>
      <c r="B497" s="42">
        <f t="shared" si="15"/>
        <v>0</v>
      </c>
      <c r="C497" s="56">
        <f>B497*(VLOOKUP(A497,'Wksht 3. Conversion Factors'!$A$55:$F$89,3,FALSE))</f>
        <v>0</v>
      </c>
      <c r="D497" s="56" t="e">
        <f>B497*((VLOOKUP(A497,'Wksht 3. Conversion Factors'!$A$55:$F$89,5,FALSE)*'Wksht 4. Calculations'!$B$15)+(VLOOKUP(A497,'Wksht 3. Conversion Factors'!$A$55:$F$89,6,FALSE)*'Wksht 4. Calculations'!$B$16))</f>
        <v>#DIV/0!</v>
      </c>
      <c r="E497" s="256" t="e">
        <f>C497-D497</f>
        <v>#DIV/0!</v>
      </c>
      <c r="F497" s="27"/>
      <c r="G497" s="27"/>
      <c r="H497" s="27"/>
    </row>
    <row r="498" spans="1:8" s="33" customFormat="1" ht="12.75">
      <c r="A498" s="221" t="s">
        <v>68</v>
      </c>
      <c r="B498" s="42">
        <f t="shared" si="15"/>
        <v>0</v>
      </c>
      <c r="C498" s="56">
        <f>B498*(VLOOKUP(A498,'Wksht 3. Conversion Factors'!$A$55:$F$89,3,FALSE))</f>
        <v>0</v>
      </c>
      <c r="D498" s="56" t="e">
        <f>B498*((VLOOKUP(A498,'Wksht 3. Conversion Factors'!$A$55:$F$89,5,FALSE)*'Wksht 4. Calculations'!$B$15)+(VLOOKUP(A498,'Wksht 3. Conversion Factors'!$A$55:$F$89,6,FALSE)*'Wksht 4. Calculations'!$B$16))</f>
        <v>#DIV/0!</v>
      </c>
      <c r="E498" s="256" t="e">
        <f>C498-D498</f>
        <v>#DIV/0!</v>
      </c>
      <c r="F498" s="27"/>
      <c r="G498" s="27"/>
      <c r="H498" s="27"/>
    </row>
    <row r="499" spans="1:8" s="33" customFormat="1" ht="12.75">
      <c r="A499" s="221" t="s">
        <v>144</v>
      </c>
      <c r="B499" s="42">
        <f t="shared" si="15"/>
        <v>0</v>
      </c>
      <c r="C499" s="56" t="s">
        <v>404</v>
      </c>
      <c r="D499" s="56" t="s">
        <v>404</v>
      </c>
      <c r="E499" s="256" t="s">
        <v>404</v>
      </c>
      <c r="F499" s="27"/>
      <c r="G499" s="27"/>
      <c r="H499" s="27"/>
    </row>
    <row r="500" spans="1:8" s="33" customFormat="1" ht="12.75">
      <c r="A500" s="221" t="s">
        <v>145</v>
      </c>
      <c r="B500" s="42">
        <f t="shared" si="15"/>
        <v>0</v>
      </c>
      <c r="C500" s="56">
        <f>B500*(VLOOKUP(A500,'Wksht 3. Conversion Factors'!$A$55:$F$89,3,FALSE))</f>
        <v>0</v>
      </c>
      <c r="D500" s="56" t="e">
        <f>B500*(IF(ISERROR(VLOOKUP(A500,'Wksht 3. Conversion Factors'!$A$55:$F$89,5,FALSE)*'Wksht 4. Calculations'!$B$15),0,(VLOOKUP(A500,'Wksht 3. Conversion Factors'!$A$55:$F$89,5,FALSE)*'Wksht 4. Calculations'!$B$15))+(VLOOKUP(A500,'Wksht 3. Conversion Factors'!$A$55:$F$89,6,FALSE)*'Wksht 4. Calculations'!$B$16))</f>
        <v>#DIV/0!</v>
      </c>
      <c r="E500" s="256" t="e">
        <f aca="true" t="shared" si="17" ref="E500:E506">C500-D500</f>
        <v>#DIV/0!</v>
      </c>
      <c r="F500" s="27"/>
      <c r="G500" s="27"/>
      <c r="H500" s="27"/>
    </row>
    <row r="501" spans="1:8" s="33" customFormat="1" ht="12.75">
      <c r="A501" s="221" t="s">
        <v>146</v>
      </c>
      <c r="B501" s="42">
        <f t="shared" si="15"/>
        <v>0</v>
      </c>
      <c r="C501" s="56">
        <f>B501*(VLOOKUP(A501,'Wksht 3. Conversion Factors'!$A$55:$F$89,3,FALSE))</f>
        <v>0</v>
      </c>
      <c r="D501" s="56" t="e">
        <f>B501*(IF(ISERROR(VLOOKUP(A501,'Wksht 3. Conversion Factors'!$A$55:$F$89,5,FALSE)*'Wksht 4. Calculations'!$B$15),0,(VLOOKUP(A501,'Wksht 3. Conversion Factors'!$A$55:$F$89,5,FALSE)*'Wksht 4. Calculations'!$B$15))+(VLOOKUP(A501,'Wksht 3. Conversion Factors'!$A$55:$F$89,6,FALSE)*'Wksht 4. Calculations'!$B$16))</f>
        <v>#DIV/0!</v>
      </c>
      <c r="E501" s="256" t="e">
        <f t="shared" si="17"/>
        <v>#DIV/0!</v>
      </c>
      <c r="F501" s="27"/>
      <c r="G501" s="27"/>
      <c r="H501" s="27"/>
    </row>
    <row r="502" spans="1:8" s="33" customFormat="1" ht="12.75">
      <c r="A502" s="221" t="s">
        <v>85</v>
      </c>
      <c r="B502" s="42">
        <f t="shared" si="15"/>
        <v>433821</v>
      </c>
      <c r="C502" s="56">
        <f>B502*(VLOOKUP(A502,'Wksht 3. Conversion Factors'!$A$55:$F$89,3,FALSE))</f>
        <v>-9952634.617800001</v>
      </c>
      <c r="D502" s="56" t="e">
        <f>B502*((VLOOKUP(A502,'Wksht 3. Conversion Factors'!$A$55:$F$89,5,FALSE)*'Wksht 4. Calculations'!$B$15)+(VLOOKUP(A502,'Wksht 3. Conversion Factors'!$A$55:$F$89,6,FALSE)*'Wksht 4. Calculations'!$B$16))</f>
        <v>#DIV/0!</v>
      </c>
      <c r="E502" s="256" t="e">
        <f t="shared" si="17"/>
        <v>#DIV/0!</v>
      </c>
      <c r="F502" s="27"/>
      <c r="G502" s="27"/>
      <c r="H502" s="27"/>
    </row>
    <row r="503" spans="1:8" s="33" customFormat="1" ht="12.75">
      <c r="A503" s="221" t="s">
        <v>479</v>
      </c>
      <c r="B503" s="42">
        <f t="shared" si="15"/>
        <v>32138</v>
      </c>
      <c r="C503" s="56">
        <f>B503*(VLOOKUP(A503,'Wksht 3. Conversion Factors'!$A$55:$F$89,3,FALSE))</f>
        <v>-2404121.863911414</v>
      </c>
      <c r="D503" s="56" t="e">
        <f>B503*((VLOOKUP(A503,'Wksht 3. Conversion Factors'!$A$55:$F$89,5,FALSE)*'Wksht 4. Calculations'!$B$15)+(VLOOKUP(A503,'Wksht 3. Conversion Factors'!$A$55:$F$89,6,FALSE)*'Wksht 4. Calculations'!$B$16))</f>
        <v>#DIV/0!</v>
      </c>
      <c r="E503" s="256" t="e">
        <f t="shared" si="17"/>
        <v>#DIV/0!</v>
      </c>
      <c r="F503" s="27"/>
      <c r="G503" s="27"/>
      <c r="H503" s="27"/>
    </row>
    <row r="504" spans="1:8" s="33" customFormat="1" ht="12.75">
      <c r="A504" s="221" t="s">
        <v>480</v>
      </c>
      <c r="B504" s="42">
        <f t="shared" si="15"/>
        <v>906653</v>
      </c>
      <c r="C504" s="56">
        <f>B504*(VLOOKUP(A504,'Wksht 3. Conversion Factors'!$A$55:$F$89,3,FALSE))</f>
        <v>-47522297.446562655</v>
      </c>
      <c r="D504" s="56" t="e">
        <f>B504*((VLOOKUP(A504,'Wksht 3. Conversion Factors'!$A$55:$F$89,5,FALSE)*'Wksht 4. Calculations'!$B$15)+(VLOOKUP(A504,'Wksht 3. Conversion Factors'!$A$55:$F$89,6,FALSE)*'Wksht 4. Calculations'!$B$16))</f>
        <v>#DIV/0!</v>
      </c>
      <c r="E504" s="256" t="e">
        <f t="shared" si="17"/>
        <v>#DIV/0!</v>
      </c>
      <c r="F504" s="27"/>
      <c r="G504" s="27"/>
      <c r="H504" s="27"/>
    </row>
    <row r="505" spans="1:8" s="33" customFormat="1" ht="12.75">
      <c r="A505" s="221" t="s">
        <v>389</v>
      </c>
      <c r="B505" s="42">
        <f t="shared" si="15"/>
        <v>0</v>
      </c>
      <c r="C505" s="56">
        <f>B505*(VLOOKUP(A505,'Wksht 3. Conversion Factors'!$A$55:$F$89,3,FALSE))</f>
        <v>0</v>
      </c>
      <c r="D505" s="56" t="e">
        <f>B505*((VLOOKUP(A505,'Wksht 3. Conversion Factors'!$A$55:$F$89,5,FALSE)*'Wksht 4. Calculations'!$B$15)+(VLOOKUP(A505,'Wksht 3. Conversion Factors'!$A$55:$F$89,6,FALSE)*'Wksht 4. Calculations'!$B$16))</f>
        <v>#DIV/0!</v>
      </c>
      <c r="E505" s="256" t="e">
        <f t="shared" si="17"/>
        <v>#DIV/0!</v>
      </c>
      <c r="F505" s="27"/>
      <c r="G505" s="27"/>
      <c r="H505" s="27"/>
    </row>
    <row r="506" spans="1:8" s="33" customFormat="1" ht="12.75">
      <c r="A506" s="221" t="s">
        <v>481</v>
      </c>
      <c r="B506" s="42">
        <f t="shared" si="15"/>
        <v>0</v>
      </c>
      <c r="C506" s="56">
        <f>B506*(VLOOKUP(A506,'Wksht 3. Conversion Factors'!$A$55:$F$89,4,FALSE))</f>
        <v>0</v>
      </c>
      <c r="D506" s="56" t="e">
        <f>B506*((VLOOKUP(A506,'Wksht 3. Conversion Factors'!$A$55:$F$89,5,FALSE)*'Wksht 4. Calculations'!$B$15)+(VLOOKUP(A506,'Wksht 3. Conversion Factors'!$A$55:$F$89,6,FALSE)*'Wksht 4. Calculations'!$B$16))</f>
        <v>#DIV/0!</v>
      </c>
      <c r="E506" s="256" t="e">
        <f t="shared" si="17"/>
        <v>#DIV/0!</v>
      </c>
      <c r="F506" s="27"/>
      <c r="G506" s="27"/>
      <c r="H506" s="27"/>
    </row>
    <row r="507" spans="1:8" s="33" customFormat="1" ht="12.75">
      <c r="A507" s="221" t="s">
        <v>87</v>
      </c>
      <c r="B507" s="42">
        <f t="shared" si="15"/>
        <v>0</v>
      </c>
      <c r="C507" s="56" t="s">
        <v>404</v>
      </c>
      <c r="D507" s="56" t="s">
        <v>404</v>
      </c>
      <c r="E507" s="256" t="s">
        <v>404</v>
      </c>
      <c r="F507" s="27"/>
      <c r="G507" s="27"/>
      <c r="H507" s="27"/>
    </row>
    <row r="508" spans="1:8" s="33" customFormat="1" ht="13.5" thickBot="1">
      <c r="A508" s="229" t="s">
        <v>337</v>
      </c>
      <c r="B508" s="48">
        <f>B50</f>
        <v>4006785</v>
      </c>
      <c r="C508" s="48">
        <f>SUM(C473:C507)</f>
        <v>-117262884.80437687</v>
      </c>
      <c r="D508" s="48" t="e">
        <f>SUM(D473:D507)</f>
        <v>#DIV/0!</v>
      </c>
      <c r="E508" s="45" t="e">
        <f>C508-D508</f>
        <v>#DIV/0!</v>
      </c>
      <c r="F508" s="22"/>
      <c r="G508" s="22"/>
      <c r="H508" s="203"/>
    </row>
    <row r="509" spans="1:8" s="33" customFormat="1" ht="12.75">
      <c r="A509" s="237"/>
      <c r="B509" s="21"/>
      <c r="C509" s="27"/>
      <c r="D509" s="27"/>
      <c r="E509" s="32"/>
      <c r="F509" s="23"/>
      <c r="G509" s="23"/>
      <c r="H509" s="22"/>
    </row>
    <row r="510" spans="1:8" s="33" customFormat="1" ht="12.75">
      <c r="A510" s="224" t="s">
        <v>438</v>
      </c>
      <c r="B510" s="21"/>
      <c r="C510" s="27"/>
      <c r="D510" s="27"/>
      <c r="E510" s="32"/>
      <c r="F510" s="23"/>
      <c r="G510" s="23"/>
      <c r="H510" s="22"/>
    </row>
    <row r="511" spans="1:8" s="33" customFormat="1" ht="12.75">
      <c r="A511" s="107" t="str">
        <f>'Wksht 1. Data Inputs'!B14</f>
        <v>PA Department of Environmental Protection</v>
      </c>
      <c r="E511" s="30"/>
      <c r="F511" s="30"/>
      <c r="G511" s="30"/>
      <c r="H511" s="22"/>
    </row>
    <row r="512" spans="1:8" s="33" customFormat="1" ht="12.75">
      <c r="A512" s="107" t="str">
        <f>'Wksht 3. Conversion Factors'!B91</f>
        <v>U.S. EPA. "WARM Online, Version 8." (June 2006). 26 June 06 http://yosemite.epa.gov/oar/globalwarming.nsf/WARM.</v>
      </c>
      <c r="E512" s="30"/>
      <c r="F512" s="30"/>
      <c r="G512" s="30"/>
      <c r="H512" s="22"/>
    </row>
    <row r="513" spans="1:8" s="33" customFormat="1" ht="27" customHeight="1">
      <c r="A513" s="585" t="str">
        <f>'Wksht 3. Conversion Factors'!B92</f>
        <v>U.S. EPA. "Solid Waste Management and Greenhouse Gases: A Life-Cycle Assessment of Emissions and Sinks. 2nd edition." EPA 530-R-02-006. 11 Nov 2005 http://www.epa.gov/epaoswer/non-hw/muncpl/ghg/ghg.htm. </v>
      </c>
      <c r="B513" s="571"/>
      <c r="C513" s="571"/>
      <c r="D513" s="571"/>
      <c r="E513" s="571"/>
      <c r="F513" s="571"/>
      <c r="G513" s="571"/>
      <c r="H513" s="571"/>
    </row>
    <row r="514" spans="1:8" s="33" customFormat="1" ht="12.75">
      <c r="A514" s="107"/>
      <c r="B514" s="116"/>
      <c r="C514" s="100"/>
      <c r="D514" s="100"/>
      <c r="E514" s="100"/>
      <c r="F514" s="100"/>
      <c r="G514" s="100"/>
      <c r="H514" s="100"/>
    </row>
    <row r="515" spans="1:8" s="33" customFormat="1" ht="18">
      <c r="A515" s="16" t="s">
        <v>23</v>
      </c>
      <c r="B515" s="116"/>
      <c r="C515" s="100"/>
      <c r="D515" s="100"/>
      <c r="E515" s="100"/>
      <c r="F515" s="100"/>
      <c r="G515" s="100"/>
      <c r="H515" s="100"/>
    </row>
    <row r="516" spans="1:8" s="33" customFormat="1" ht="12.75">
      <c r="A516" s="107"/>
      <c r="B516" s="116"/>
      <c r="C516" s="100"/>
      <c r="D516" s="100"/>
      <c r="E516" s="100"/>
      <c r="F516" s="100"/>
      <c r="G516" s="100"/>
      <c r="H516" s="100"/>
    </row>
    <row r="517" spans="1:8" s="33" customFormat="1" ht="12.75">
      <c r="A517" s="107"/>
      <c r="B517" s="116"/>
      <c r="C517" s="100"/>
      <c r="D517" s="100"/>
      <c r="E517" s="100"/>
      <c r="F517" s="100"/>
      <c r="G517" s="100"/>
      <c r="H517" s="100"/>
    </row>
    <row r="518" spans="1:8" s="33" customFormat="1" ht="12.75">
      <c r="A518" s="107"/>
      <c r="B518" s="116"/>
      <c r="C518" s="100"/>
      <c r="D518" s="100"/>
      <c r="E518" s="100"/>
      <c r="F518" s="100"/>
      <c r="G518" s="100"/>
      <c r="H518" s="100"/>
    </row>
    <row r="519" spans="1:8" s="33" customFormat="1" ht="12.75">
      <c r="A519" s="107"/>
      <c r="B519" s="116"/>
      <c r="C519" s="100"/>
      <c r="D519" s="100"/>
      <c r="E519" s="100"/>
      <c r="F519" s="100"/>
      <c r="G519" s="100"/>
      <c r="H519" s="100"/>
    </row>
    <row r="520" spans="1:8" s="33" customFormat="1" ht="12.75">
      <c r="A520" s="107"/>
      <c r="B520" s="116"/>
      <c r="C520" s="100"/>
      <c r="D520" s="100"/>
      <c r="E520" s="100"/>
      <c r="F520" s="100"/>
      <c r="G520" s="100"/>
      <c r="H520" s="100"/>
    </row>
    <row r="521" spans="1:8" s="33" customFormat="1" ht="12.75">
      <c r="A521" s="107"/>
      <c r="B521" s="116"/>
      <c r="C521" s="100"/>
      <c r="D521" s="100"/>
      <c r="E521" s="100"/>
      <c r="F521" s="100"/>
      <c r="G521" s="100"/>
      <c r="H521" s="100"/>
    </row>
    <row r="522" spans="1:8" s="33" customFormat="1" ht="12.75">
      <c r="A522" s="107"/>
      <c r="B522" s="116"/>
      <c r="C522" s="100"/>
      <c r="D522" s="100"/>
      <c r="E522" s="100"/>
      <c r="F522" s="100"/>
      <c r="G522" s="100"/>
      <c r="H522" s="100"/>
    </row>
    <row r="523" spans="1:8" s="33" customFormat="1" ht="12.75">
      <c r="A523" s="107"/>
      <c r="B523" s="116"/>
      <c r="C523" s="100"/>
      <c r="D523" s="100"/>
      <c r="E523" s="100"/>
      <c r="F523" s="100"/>
      <c r="G523" s="100"/>
      <c r="H523" s="100"/>
    </row>
    <row r="524" spans="1:8" s="33" customFormat="1" ht="12.75">
      <c r="A524" s="107"/>
      <c r="B524" s="116"/>
      <c r="C524" s="100"/>
      <c r="D524" s="100"/>
      <c r="E524" s="100"/>
      <c r="F524" s="100"/>
      <c r="G524" s="100"/>
      <c r="H524" s="100"/>
    </row>
    <row r="525" spans="1:8" s="33" customFormat="1" ht="12.75">
      <c r="A525" s="107"/>
      <c r="B525" s="116"/>
      <c r="C525" s="100"/>
      <c r="D525" s="100"/>
      <c r="E525" s="100"/>
      <c r="F525" s="100"/>
      <c r="G525" s="100"/>
      <c r="H525" s="100"/>
    </row>
    <row r="526" spans="1:8" s="33" customFormat="1" ht="12.75">
      <c r="A526" s="107"/>
      <c r="B526" s="116"/>
      <c r="C526" s="100"/>
      <c r="D526" s="100"/>
      <c r="E526" s="100"/>
      <c r="F526" s="100"/>
      <c r="G526" s="100"/>
      <c r="H526" s="100"/>
    </row>
    <row r="527" spans="1:8" s="33" customFormat="1" ht="12.75">
      <c r="A527" s="107"/>
      <c r="B527" s="116"/>
      <c r="C527" s="100"/>
      <c r="D527" s="100"/>
      <c r="E527" s="100"/>
      <c r="F527" s="100"/>
      <c r="G527" s="100"/>
      <c r="H527" s="100"/>
    </row>
    <row r="528" spans="1:8" s="33" customFormat="1" ht="12.75">
      <c r="A528" s="107"/>
      <c r="B528" s="116"/>
      <c r="C528" s="100"/>
      <c r="D528" s="100"/>
      <c r="E528" s="100"/>
      <c r="F528" s="100"/>
      <c r="G528" s="100"/>
      <c r="H528" s="100"/>
    </row>
    <row r="529" spans="1:8" s="33" customFormat="1" ht="12.75">
      <c r="A529" s="107"/>
      <c r="B529" s="116"/>
      <c r="C529" s="100"/>
      <c r="D529" s="100"/>
      <c r="E529" s="100"/>
      <c r="F529" s="100"/>
      <c r="G529" s="100"/>
      <c r="H529" s="100"/>
    </row>
    <row r="530" spans="1:8" s="33" customFormat="1" ht="12.75">
      <c r="A530" s="107"/>
      <c r="B530" s="116"/>
      <c r="C530" s="100"/>
      <c r="D530" s="100"/>
      <c r="E530" s="100"/>
      <c r="F530" s="100"/>
      <c r="G530" s="100"/>
      <c r="H530" s="100"/>
    </row>
    <row r="531" spans="1:8" s="33" customFormat="1" ht="12.75">
      <c r="A531" s="107"/>
      <c r="B531" s="116"/>
      <c r="C531" s="100"/>
      <c r="D531" s="100"/>
      <c r="E531" s="100"/>
      <c r="F531" s="100"/>
      <c r="G531" s="100"/>
      <c r="H531" s="100"/>
    </row>
    <row r="532" spans="1:8" s="33" customFormat="1" ht="12.75">
      <c r="A532" s="107"/>
      <c r="B532" s="116"/>
      <c r="C532" s="100"/>
      <c r="D532" s="100"/>
      <c r="E532" s="100"/>
      <c r="F532" s="100"/>
      <c r="G532" s="100"/>
      <c r="H532" s="100"/>
    </row>
    <row r="533" spans="1:8" s="33" customFormat="1" ht="12.75">
      <c r="A533" s="107"/>
      <c r="B533" s="116"/>
      <c r="C533" s="100"/>
      <c r="D533" s="100"/>
      <c r="E533" s="100"/>
      <c r="F533" s="100"/>
      <c r="G533" s="100"/>
      <c r="H533" s="100"/>
    </row>
    <row r="534" spans="1:8" s="33" customFormat="1" ht="12.75">
      <c r="A534" s="107"/>
      <c r="B534" s="116"/>
      <c r="C534" s="100"/>
      <c r="D534" s="100"/>
      <c r="E534" s="100"/>
      <c r="F534" s="100"/>
      <c r="G534" s="100"/>
      <c r="H534" s="100"/>
    </row>
    <row r="535" spans="1:8" s="33" customFormat="1" ht="12.75">
      <c r="A535" s="107"/>
      <c r="B535" s="116"/>
      <c r="C535" s="100"/>
      <c r="D535" s="100"/>
      <c r="E535" s="100"/>
      <c r="F535" s="100"/>
      <c r="G535" s="100"/>
      <c r="H535" s="100"/>
    </row>
    <row r="536" spans="1:8" s="33" customFormat="1" ht="12.75">
      <c r="A536" s="107"/>
      <c r="B536" s="116"/>
      <c r="C536" s="100"/>
      <c r="D536" s="100"/>
      <c r="E536" s="100"/>
      <c r="F536" s="100"/>
      <c r="G536" s="100"/>
      <c r="H536" s="100"/>
    </row>
    <row r="537" spans="1:8" s="33" customFormat="1" ht="12.75">
      <c r="A537" s="107"/>
      <c r="B537" s="116"/>
      <c r="C537" s="100"/>
      <c r="D537" s="100"/>
      <c r="E537" s="100"/>
      <c r="F537" s="100"/>
      <c r="G537" s="100"/>
      <c r="H537" s="100"/>
    </row>
    <row r="538" spans="1:8" s="33" customFormat="1" ht="12.75">
      <c r="A538" s="107"/>
      <c r="B538" s="116"/>
      <c r="C538" s="100"/>
      <c r="D538" s="100"/>
      <c r="E538" s="100"/>
      <c r="F538" s="100"/>
      <c r="G538" s="100"/>
      <c r="H538" s="100"/>
    </row>
    <row r="539" spans="1:8" s="33" customFormat="1" ht="12.75">
      <c r="A539" s="107"/>
      <c r="B539" s="116"/>
      <c r="C539" s="100"/>
      <c r="D539" s="100"/>
      <c r="E539" s="100"/>
      <c r="F539" s="100"/>
      <c r="G539" s="100"/>
      <c r="H539" s="100"/>
    </row>
    <row r="540" spans="1:8" s="33" customFormat="1" ht="12.75">
      <c r="A540" s="107"/>
      <c r="B540" s="116"/>
      <c r="C540" s="100"/>
      <c r="D540" s="100"/>
      <c r="E540" s="100"/>
      <c r="F540" s="100"/>
      <c r="G540" s="100"/>
      <c r="H540" s="100"/>
    </row>
    <row r="541" spans="1:8" s="33" customFormat="1" ht="12.75">
      <c r="A541" s="107"/>
      <c r="B541" s="116"/>
      <c r="C541" s="100"/>
      <c r="D541" s="100"/>
      <c r="E541" s="100"/>
      <c r="F541" s="100"/>
      <c r="G541" s="100"/>
      <c r="H541" s="100"/>
    </row>
    <row r="542" spans="1:8" s="33" customFormat="1" ht="12.75">
      <c r="A542" s="107"/>
      <c r="B542" s="116"/>
      <c r="C542" s="100"/>
      <c r="D542" s="100"/>
      <c r="E542" s="100"/>
      <c r="F542" s="100"/>
      <c r="G542" s="100"/>
      <c r="H542" s="100"/>
    </row>
    <row r="543" spans="1:8" s="33" customFormat="1" ht="12.75">
      <c r="A543" s="107"/>
      <c r="B543" s="116"/>
      <c r="C543" s="100"/>
      <c r="D543" s="100"/>
      <c r="E543" s="100"/>
      <c r="F543" s="100"/>
      <c r="G543" s="100"/>
      <c r="H543" s="100"/>
    </row>
    <row r="544" spans="1:8" s="33" customFormat="1" ht="12.75">
      <c r="A544" s="107"/>
      <c r="B544" s="116"/>
      <c r="C544" s="100"/>
      <c r="D544" s="100"/>
      <c r="E544" s="100"/>
      <c r="F544" s="100"/>
      <c r="G544" s="100"/>
      <c r="H544" s="100"/>
    </row>
    <row r="545" spans="1:8" s="33" customFormat="1" ht="12.75">
      <c r="A545" s="107"/>
      <c r="B545" s="116"/>
      <c r="C545" s="100"/>
      <c r="D545" s="100"/>
      <c r="E545" s="100"/>
      <c r="F545" s="100"/>
      <c r="G545" s="100"/>
      <c r="H545" s="100"/>
    </row>
    <row r="546" spans="1:8" s="33" customFormat="1" ht="12.75">
      <c r="A546" s="107"/>
      <c r="B546" s="116"/>
      <c r="C546" s="100"/>
      <c r="D546" s="100"/>
      <c r="E546" s="100"/>
      <c r="F546" s="100"/>
      <c r="G546" s="100"/>
      <c r="H546" s="100"/>
    </row>
    <row r="547" spans="1:8" s="33" customFormat="1" ht="12.75">
      <c r="A547" s="107"/>
      <c r="B547" s="116"/>
      <c r="C547" s="100"/>
      <c r="D547" s="100"/>
      <c r="E547" s="100"/>
      <c r="F547" s="100"/>
      <c r="G547" s="100"/>
      <c r="H547" s="100"/>
    </row>
    <row r="548" spans="1:8" s="33" customFormat="1" ht="12.75">
      <c r="A548" s="107"/>
      <c r="B548" s="116"/>
      <c r="C548" s="100"/>
      <c r="D548" s="100"/>
      <c r="E548" s="100"/>
      <c r="F548" s="100"/>
      <c r="G548" s="100"/>
      <c r="H548" s="100"/>
    </row>
    <row r="549" spans="1:8" s="33" customFormat="1" ht="12.75">
      <c r="A549" s="107"/>
      <c r="B549" s="116"/>
      <c r="C549" s="100"/>
      <c r="D549" s="100"/>
      <c r="E549" s="100"/>
      <c r="F549" s="100"/>
      <c r="G549" s="100"/>
      <c r="H549" s="100"/>
    </row>
    <row r="550" spans="1:8" s="33" customFormat="1" ht="12.75">
      <c r="A550" s="107"/>
      <c r="B550" s="116"/>
      <c r="C550" s="100"/>
      <c r="D550" s="100"/>
      <c r="E550" s="100"/>
      <c r="F550" s="100"/>
      <c r="G550" s="100"/>
      <c r="H550" s="100"/>
    </row>
    <row r="551" spans="1:8" s="33" customFormat="1" ht="12.75">
      <c r="A551" s="107"/>
      <c r="B551" s="116"/>
      <c r="C551" s="100"/>
      <c r="D551" s="100"/>
      <c r="E551" s="100"/>
      <c r="F551" s="100"/>
      <c r="G551" s="100"/>
      <c r="H551" s="100"/>
    </row>
    <row r="552" spans="1:8" s="33" customFormat="1" ht="12.75">
      <c r="A552" s="107"/>
      <c r="B552" s="116"/>
      <c r="C552" s="100"/>
      <c r="D552" s="100"/>
      <c r="E552" s="100"/>
      <c r="F552" s="100"/>
      <c r="G552" s="100"/>
      <c r="H552" s="100"/>
    </row>
    <row r="553" spans="1:8" s="33" customFormat="1" ht="12.75">
      <c r="A553" s="107"/>
      <c r="B553" s="116"/>
      <c r="C553" s="100"/>
      <c r="D553" s="100"/>
      <c r="E553" s="100"/>
      <c r="F553" s="100"/>
      <c r="G553" s="100"/>
      <c r="H553" s="100"/>
    </row>
    <row r="554" spans="1:8" s="33" customFormat="1" ht="12.75">
      <c r="A554" s="107"/>
      <c r="B554" s="116"/>
      <c r="C554" s="100"/>
      <c r="D554" s="100"/>
      <c r="E554" s="100"/>
      <c r="F554" s="100"/>
      <c r="G554" s="100"/>
      <c r="H554" s="100"/>
    </row>
    <row r="555" spans="1:8" s="33" customFormat="1" ht="12.75">
      <c r="A555" s="107"/>
      <c r="B555" s="116"/>
      <c r="C555" s="100"/>
      <c r="D555" s="100"/>
      <c r="E555" s="100"/>
      <c r="F555" s="100"/>
      <c r="G555" s="100"/>
      <c r="H555" s="100"/>
    </row>
    <row r="556" spans="1:8" s="33" customFormat="1" ht="12.75">
      <c r="A556" s="107"/>
      <c r="B556" s="116"/>
      <c r="C556" s="100"/>
      <c r="D556" s="100"/>
      <c r="E556" s="100"/>
      <c r="F556" s="100"/>
      <c r="G556" s="100"/>
      <c r="H556" s="100"/>
    </row>
    <row r="557" spans="1:8" s="33" customFormat="1" ht="12.75">
      <c r="A557" s="107"/>
      <c r="B557" s="116"/>
      <c r="C557" s="100"/>
      <c r="D557" s="100"/>
      <c r="E557" s="100"/>
      <c r="F557" s="100"/>
      <c r="G557" s="100"/>
      <c r="H557" s="100"/>
    </row>
    <row r="558" spans="1:8" s="33" customFormat="1" ht="12.75">
      <c r="A558" s="107"/>
      <c r="B558" s="116"/>
      <c r="C558" s="100"/>
      <c r="D558" s="100"/>
      <c r="E558" s="100"/>
      <c r="F558" s="100"/>
      <c r="G558" s="100"/>
      <c r="H558" s="100"/>
    </row>
    <row r="559" spans="1:8" s="33" customFormat="1" ht="12.75">
      <c r="A559" s="107"/>
      <c r="B559" s="116"/>
      <c r="C559" s="100"/>
      <c r="D559" s="100"/>
      <c r="E559" s="100"/>
      <c r="F559" s="100"/>
      <c r="G559" s="100"/>
      <c r="H559" s="100"/>
    </row>
    <row r="560" spans="1:8" s="33" customFormat="1" ht="12.75">
      <c r="A560" s="107"/>
      <c r="B560" s="116"/>
      <c r="C560" s="100"/>
      <c r="D560" s="100"/>
      <c r="E560" s="100"/>
      <c r="F560" s="100"/>
      <c r="G560" s="100"/>
      <c r="H560" s="100"/>
    </row>
    <row r="561" spans="1:8" s="33" customFormat="1" ht="12.75">
      <c r="A561" s="107"/>
      <c r="B561" s="116"/>
      <c r="C561" s="100"/>
      <c r="D561" s="100"/>
      <c r="E561" s="100"/>
      <c r="F561" s="100"/>
      <c r="G561" s="100"/>
      <c r="H561" s="100"/>
    </row>
    <row r="562" spans="1:8" s="33" customFormat="1" ht="12.75">
      <c r="A562" s="107"/>
      <c r="B562" s="116"/>
      <c r="C562" s="100"/>
      <c r="D562" s="100"/>
      <c r="E562" s="100"/>
      <c r="F562" s="100"/>
      <c r="G562" s="100"/>
      <c r="H562" s="100"/>
    </row>
    <row r="563" spans="1:8" s="33" customFormat="1" ht="12.75">
      <c r="A563" s="107"/>
      <c r="B563" s="116"/>
      <c r="C563" s="100"/>
      <c r="D563" s="100"/>
      <c r="E563" s="100"/>
      <c r="F563" s="100"/>
      <c r="G563" s="100"/>
      <c r="H563" s="100"/>
    </row>
    <row r="564" spans="1:8" s="33" customFormat="1" ht="12.75">
      <c r="A564" s="107"/>
      <c r="B564" s="116"/>
      <c r="C564" s="100"/>
      <c r="D564" s="100"/>
      <c r="E564" s="100"/>
      <c r="F564" s="100"/>
      <c r="G564" s="100"/>
      <c r="H564" s="100"/>
    </row>
    <row r="565" spans="1:8" s="33" customFormat="1" ht="12.75">
      <c r="A565" s="107"/>
      <c r="B565" s="116"/>
      <c r="C565" s="100"/>
      <c r="D565" s="100"/>
      <c r="E565" s="100"/>
      <c r="F565" s="100"/>
      <c r="G565" s="100"/>
      <c r="H565" s="100"/>
    </row>
    <row r="566" spans="1:8" s="33" customFormat="1" ht="12.75">
      <c r="A566" s="107"/>
      <c r="B566" s="116"/>
      <c r="C566" s="100"/>
      <c r="D566" s="100"/>
      <c r="E566" s="100"/>
      <c r="F566" s="100"/>
      <c r="G566" s="100"/>
      <c r="H566" s="100"/>
    </row>
    <row r="567" spans="1:8" s="33" customFormat="1" ht="12.75">
      <c r="A567" s="107"/>
      <c r="B567" s="116"/>
      <c r="C567" s="100"/>
      <c r="D567" s="100"/>
      <c r="E567" s="100"/>
      <c r="F567" s="100"/>
      <c r="G567" s="100"/>
      <c r="H567" s="100"/>
    </row>
    <row r="568" spans="1:8" s="33" customFormat="1" ht="12.75">
      <c r="A568" s="107"/>
      <c r="B568" s="116"/>
      <c r="C568" s="100"/>
      <c r="D568" s="100"/>
      <c r="E568" s="100"/>
      <c r="F568" s="100"/>
      <c r="G568" s="100"/>
      <c r="H568" s="100"/>
    </row>
    <row r="569" spans="1:7" s="8" customFormat="1" ht="18.75">
      <c r="A569" s="16" t="s">
        <v>263</v>
      </c>
      <c r="E569" s="10"/>
      <c r="F569" s="10"/>
      <c r="G569" s="10"/>
    </row>
    <row r="570" spans="1:8" s="8" customFormat="1" ht="12.75">
      <c r="A570" s="234" t="s">
        <v>26</v>
      </c>
      <c r="D570" s="12"/>
      <c r="E570" s="12"/>
      <c r="F570" s="13"/>
      <c r="G570" s="13"/>
      <c r="H570" s="14"/>
    </row>
    <row r="571" spans="1:8" s="8" customFormat="1" ht="13.5" thickBot="1">
      <c r="A571" s="217"/>
      <c r="E571" s="10"/>
      <c r="F571" s="10"/>
      <c r="G571" s="10"/>
      <c r="H571" s="14"/>
    </row>
    <row r="572" spans="1:8" s="33" customFormat="1" ht="84.75" customHeight="1">
      <c r="A572" s="235"/>
      <c r="B572" s="102" t="s">
        <v>288</v>
      </c>
      <c r="C572" s="549" t="s">
        <v>246</v>
      </c>
      <c r="D572" s="549" t="s">
        <v>114</v>
      </c>
      <c r="E572" s="549" t="s">
        <v>120</v>
      </c>
      <c r="F572" s="549" t="s">
        <v>213</v>
      </c>
      <c r="G572" s="92"/>
      <c r="H572" s="610" t="s">
        <v>473</v>
      </c>
    </row>
    <row r="573" spans="1:8" s="33" customFormat="1" ht="12.75">
      <c r="A573" s="236" t="s">
        <v>430</v>
      </c>
      <c r="B573" s="54" t="str">
        <f>'Wksht 1. Data Inputs'!B15</f>
        <v>potential 2003 waste comp</v>
      </c>
      <c r="C573" s="557"/>
      <c r="D573" s="557"/>
      <c r="E573" s="557"/>
      <c r="F573" s="557"/>
      <c r="G573" s="93"/>
      <c r="H573" s="630"/>
    </row>
    <row r="574" spans="1:8" s="33" customFormat="1" ht="12.75">
      <c r="A574" s="221" t="s">
        <v>373</v>
      </c>
      <c r="B574" s="281" t="e">
        <f aca="true" t="shared" si="18" ref="B574:B595">E473</f>
        <v>#DIV/0!</v>
      </c>
      <c r="C574" s="257" t="e">
        <f>B574/'Wksht 3. Conversion Factors'!$B$105</f>
        <v>#DIV/0!</v>
      </c>
      <c r="D574" s="257" t="e">
        <f>B574/'Wksht 3. Conversion Factors'!$B$104</f>
        <v>#DIV/0!</v>
      </c>
      <c r="E574" s="257" t="e">
        <f>D574/'Wksht 3. Conversion Factors'!$B$101</f>
        <v>#DIV/0!</v>
      </c>
      <c r="F574" s="257" t="e">
        <f>E574*'Wksht 3. Conversion Factors'!$B$107</f>
        <v>#DIV/0!</v>
      </c>
      <c r="G574" s="282"/>
      <c r="H574" s="256" t="e">
        <f>B574/'Wksht 3. Conversion Factors'!$B$98</f>
        <v>#DIV/0!</v>
      </c>
    </row>
    <row r="575" spans="1:8" s="33" customFormat="1" ht="12.75">
      <c r="A575" s="221" t="s">
        <v>374</v>
      </c>
      <c r="B575" s="281" t="e">
        <f t="shared" si="18"/>
        <v>#DIV/0!</v>
      </c>
      <c r="C575" s="257" t="e">
        <f>B575/'Wksht 3. Conversion Factors'!$B$105</f>
        <v>#DIV/0!</v>
      </c>
      <c r="D575" s="257" t="e">
        <f>B575/'Wksht 3. Conversion Factors'!$B$104</f>
        <v>#DIV/0!</v>
      </c>
      <c r="E575" s="257" t="e">
        <f>D575/'Wksht 3. Conversion Factors'!$B$101</f>
        <v>#DIV/0!</v>
      </c>
      <c r="F575" s="257" t="e">
        <f>E575*'Wksht 3. Conversion Factors'!$B$107</f>
        <v>#DIV/0!</v>
      </c>
      <c r="G575" s="282"/>
      <c r="H575" s="256" t="e">
        <f>B575/'Wksht 3. Conversion Factors'!$B$98</f>
        <v>#DIV/0!</v>
      </c>
    </row>
    <row r="576" spans="1:8" s="33" customFormat="1" ht="12.75">
      <c r="A576" s="221" t="s">
        <v>375</v>
      </c>
      <c r="B576" s="281" t="e">
        <f t="shared" si="18"/>
        <v>#DIV/0!</v>
      </c>
      <c r="C576" s="257" t="e">
        <f>B576/'Wksht 3. Conversion Factors'!$B$105</f>
        <v>#DIV/0!</v>
      </c>
      <c r="D576" s="257" t="e">
        <f>B576/'Wksht 3. Conversion Factors'!$B$104</f>
        <v>#DIV/0!</v>
      </c>
      <c r="E576" s="257" t="e">
        <f>D576/'Wksht 3. Conversion Factors'!$B$101</f>
        <v>#DIV/0!</v>
      </c>
      <c r="F576" s="257" t="e">
        <f>E576*'Wksht 3. Conversion Factors'!$B$107</f>
        <v>#DIV/0!</v>
      </c>
      <c r="G576" s="282"/>
      <c r="H576" s="256" t="e">
        <f>B576/'Wksht 3. Conversion Factors'!$B$98</f>
        <v>#DIV/0!</v>
      </c>
    </row>
    <row r="577" spans="1:8" s="33" customFormat="1" ht="12.75">
      <c r="A577" s="221" t="s">
        <v>376</v>
      </c>
      <c r="B577" s="281" t="e">
        <f t="shared" si="18"/>
        <v>#DIV/0!</v>
      </c>
      <c r="C577" s="257" t="e">
        <f>B577/'Wksht 3. Conversion Factors'!$B$105</f>
        <v>#DIV/0!</v>
      </c>
      <c r="D577" s="257" t="e">
        <f>B577/'Wksht 3. Conversion Factors'!$B$104</f>
        <v>#DIV/0!</v>
      </c>
      <c r="E577" s="257" t="e">
        <f>D577/'Wksht 3. Conversion Factors'!$B$101</f>
        <v>#DIV/0!</v>
      </c>
      <c r="F577" s="257" t="e">
        <f>E577*'Wksht 3. Conversion Factors'!$B$107</f>
        <v>#DIV/0!</v>
      </c>
      <c r="G577" s="282"/>
      <c r="H577" s="256" t="e">
        <f>B577/'Wksht 3. Conversion Factors'!$B$98</f>
        <v>#DIV/0!</v>
      </c>
    </row>
    <row r="578" spans="1:8" s="33" customFormat="1" ht="12.75">
      <c r="A578" s="221" t="s">
        <v>377</v>
      </c>
      <c r="B578" s="281" t="e">
        <f t="shared" si="18"/>
        <v>#DIV/0!</v>
      </c>
      <c r="C578" s="257" t="e">
        <f>B578/'Wksht 3. Conversion Factors'!$B$105</f>
        <v>#DIV/0!</v>
      </c>
      <c r="D578" s="257" t="e">
        <f>B578/'Wksht 3. Conversion Factors'!$B$104</f>
        <v>#DIV/0!</v>
      </c>
      <c r="E578" s="257" t="e">
        <f>D578/'Wksht 3. Conversion Factors'!$B$101</f>
        <v>#DIV/0!</v>
      </c>
      <c r="F578" s="257" t="e">
        <f>E578*'Wksht 3. Conversion Factors'!$B$107</f>
        <v>#DIV/0!</v>
      </c>
      <c r="G578" s="282"/>
      <c r="H578" s="256" t="e">
        <f>B578/'Wksht 3. Conversion Factors'!$B$98</f>
        <v>#DIV/0!</v>
      </c>
    </row>
    <row r="579" spans="1:8" s="33" customFormat="1" ht="12.75">
      <c r="A579" s="221" t="s">
        <v>378</v>
      </c>
      <c r="B579" s="281" t="e">
        <f t="shared" si="18"/>
        <v>#DIV/0!</v>
      </c>
      <c r="C579" s="257" t="e">
        <f>B579/'Wksht 3. Conversion Factors'!$B$105</f>
        <v>#DIV/0!</v>
      </c>
      <c r="D579" s="257" t="e">
        <f>B579/'Wksht 3. Conversion Factors'!$B$104</f>
        <v>#DIV/0!</v>
      </c>
      <c r="E579" s="257" t="e">
        <f>D579/'Wksht 3. Conversion Factors'!$B$101</f>
        <v>#DIV/0!</v>
      </c>
      <c r="F579" s="257" t="e">
        <f>E579*'Wksht 3. Conversion Factors'!$B$107</f>
        <v>#DIV/0!</v>
      </c>
      <c r="G579" s="282"/>
      <c r="H579" s="256" t="e">
        <f>B579/'Wksht 3. Conversion Factors'!$B$98</f>
        <v>#DIV/0!</v>
      </c>
    </row>
    <row r="580" spans="1:8" s="33" customFormat="1" ht="12.75">
      <c r="A580" s="221" t="s">
        <v>372</v>
      </c>
      <c r="B580" s="281" t="e">
        <f t="shared" si="18"/>
        <v>#DIV/0!</v>
      </c>
      <c r="C580" s="257" t="e">
        <f>B580/'Wksht 3. Conversion Factors'!$B$105</f>
        <v>#DIV/0!</v>
      </c>
      <c r="D580" s="257" t="e">
        <f>B580/'Wksht 3. Conversion Factors'!$B$104</f>
        <v>#DIV/0!</v>
      </c>
      <c r="E580" s="257" t="e">
        <f>D580/'Wksht 3. Conversion Factors'!$B$101</f>
        <v>#DIV/0!</v>
      </c>
      <c r="F580" s="257" t="e">
        <f>E580*'Wksht 3. Conversion Factors'!$B$107</f>
        <v>#DIV/0!</v>
      </c>
      <c r="G580" s="282"/>
      <c r="H580" s="256" t="e">
        <f>B580/'Wksht 3. Conversion Factors'!$B$98</f>
        <v>#DIV/0!</v>
      </c>
    </row>
    <row r="581" spans="1:8" s="33" customFormat="1" ht="12.75">
      <c r="A581" s="221" t="s">
        <v>476</v>
      </c>
      <c r="B581" s="281" t="e">
        <f t="shared" si="18"/>
        <v>#DIV/0!</v>
      </c>
      <c r="C581" s="257" t="e">
        <f>B581/'Wksht 3. Conversion Factors'!$B$105</f>
        <v>#DIV/0!</v>
      </c>
      <c r="D581" s="257" t="e">
        <f>B581/'Wksht 3. Conversion Factors'!$B$104</f>
        <v>#DIV/0!</v>
      </c>
      <c r="E581" s="257" t="e">
        <f>D581/'Wksht 3. Conversion Factors'!$B$101</f>
        <v>#DIV/0!</v>
      </c>
      <c r="F581" s="257" t="e">
        <f>E581*'Wksht 3. Conversion Factors'!$B$107</f>
        <v>#DIV/0!</v>
      </c>
      <c r="G581" s="282"/>
      <c r="H581" s="256" t="e">
        <f>B581/'Wksht 3. Conversion Factors'!$B$98</f>
        <v>#DIV/0!</v>
      </c>
    </row>
    <row r="582" spans="1:8" s="33" customFormat="1" ht="12.75">
      <c r="A582" s="221" t="s">
        <v>370</v>
      </c>
      <c r="B582" s="281" t="e">
        <f t="shared" si="18"/>
        <v>#DIV/0!</v>
      </c>
      <c r="C582" s="257" t="e">
        <f>B582/'Wksht 3. Conversion Factors'!$B$105</f>
        <v>#DIV/0!</v>
      </c>
      <c r="D582" s="257" t="e">
        <f>B582/'Wksht 3. Conversion Factors'!$B$104</f>
        <v>#DIV/0!</v>
      </c>
      <c r="E582" s="257" t="e">
        <f>D582/'Wksht 3. Conversion Factors'!$B$101</f>
        <v>#DIV/0!</v>
      </c>
      <c r="F582" s="257" t="e">
        <f>E582*'Wksht 3. Conversion Factors'!$B$107</f>
        <v>#DIV/0!</v>
      </c>
      <c r="G582" s="282"/>
      <c r="H582" s="256" t="e">
        <f>B582/'Wksht 3. Conversion Factors'!$B$98</f>
        <v>#DIV/0!</v>
      </c>
    </row>
    <row r="583" spans="1:8" s="33" customFormat="1" ht="12.75">
      <c r="A583" s="221" t="s">
        <v>371</v>
      </c>
      <c r="B583" s="281" t="e">
        <f t="shared" si="18"/>
        <v>#DIV/0!</v>
      </c>
      <c r="C583" s="257" t="e">
        <f>B583/'Wksht 3. Conversion Factors'!$B$105</f>
        <v>#DIV/0!</v>
      </c>
      <c r="D583" s="257" t="e">
        <f>B583/'Wksht 3. Conversion Factors'!$B$104</f>
        <v>#DIV/0!</v>
      </c>
      <c r="E583" s="257" t="e">
        <f>D583/'Wksht 3. Conversion Factors'!$B$101</f>
        <v>#DIV/0!</v>
      </c>
      <c r="F583" s="257" t="e">
        <f>E583*'Wksht 3. Conversion Factors'!$B$107</f>
        <v>#DIV/0!</v>
      </c>
      <c r="G583" s="282"/>
      <c r="H583" s="256" t="e">
        <f>B583/'Wksht 3. Conversion Factors'!$B$98</f>
        <v>#DIV/0!</v>
      </c>
    </row>
    <row r="584" spans="1:8" s="33" customFormat="1" ht="12.75">
      <c r="A584" s="221" t="s">
        <v>477</v>
      </c>
      <c r="B584" s="281" t="e">
        <f t="shared" si="18"/>
        <v>#DIV/0!</v>
      </c>
      <c r="C584" s="257" t="e">
        <f>B584/'Wksht 3. Conversion Factors'!$B$105</f>
        <v>#DIV/0!</v>
      </c>
      <c r="D584" s="257" t="e">
        <f>B584/'Wksht 3. Conversion Factors'!$B$104</f>
        <v>#DIV/0!</v>
      </c>
      <c r="E584" s="257" t="e">
        <f>D584/'Wksht 3. Conversion Factors'!$B$101</f>
        <v>#DIV/0!</v>
      </c>
      <c r="F584" s="257" t="e">
        <f>E584*'Wksht 3. Conversion Factors'!$B$107</f>
        <v>#DIV/0!</v>
      </c>
      <c r="G584" s="282"/>
      <c r="H584" s="256" t="e">
        <f>B584/'Wksht 3. Conversion Factors'!$B$98</f>
        <v>#DIV/0!</v>
      </c>
    </row>
    <row r="585" spans="1:8" s="33" customFormat="1" ht="12.75">
      <c r="A585" s="221" t="s">
        <v>478</v>
      </c>
      <c r="B585" s="281" t="e">
        <f t="shared" si="18"/>
        <v>#DIV/0!</v>
      </c>
      <c r="C585" s="257" t="e">
        <f>B585/'Wksht 3. Conversion Factors'!$B$105</f>
        <v>#DIV/0!</v>
      </c>
      <c r="D585" s="257" t="e">
        <f>B585/'Wksht 3. Conversion Factors'!$B$104</f>
        <v>#DIV/0!</v>
      </c>
      <c r="E585" s="257" t="e">
        <f>D585/'Wksht 3. Conversion Factors'!$B$101</f>
        <v>#DIV/0!</v>
      </c>
      <c r="F585" s="257" t="e">
        <f>E585*'Wksht 3. Conversion Factors'!$B$107</f>
        <v>#DIV/0!</v>
      </c>
      <c r="G585" s="282"/>
      <c r="H585" s="256" t="e">
        <f>B585/'Wksht 3. Conversion Factors'!$B$98</f>
        <v>#DIV/0!</v>
      </c>
    </row>
    <row r="586" spans="1:8" s="33" customFormat="1" ht="12.75">
      <c r="A586" s="221" t="s">
        <v>149</v>
      </c>
      <c r="B586" s="281" t="e">
        <f t="shared" si="18"/>
        <v>#DIV/0!</v>
      </c>
      <c r="C586" s="257" t="e">
        <f>B586/'Wksht 3. Conversion Factors'!$B$105</f>
        <v>#DIV/0!</v>
      </c>
      <c r="D586" s="257" t="e">
        <f>B586/'Wksht 3. Conversion Factors'!$B$104</f>
        <v>#DIV/0!</v>
      </c>
      <c r="E586" s="257" t="e">
        <f>D586/'Wksht 3. Conversion Factors'!$B$101</f>
        <v>#DIV/0!</v>
      </c>
      <c r="F586" s="257" t="e">
        <f>E586*'Wksht 3. Conversion Factors'!$B$107</f>
        <v>#DIV/0!</v>
      </c>
      <c r="G586" s="282"/>
      <c r="H586" s="256" t="e">
        <f>B586/'Wksht 3. Conversion Factors'!$B$98</f>
        <v>#DIV/0!</v>
      </c>
    </row>
    <row r="587" spans="1:8" s="33" customFormat="1" ht="12.75">
      <c r="A587" s="221" t="s">
        <v>379</v>
      </c>
      <c r="B587" s="281" t="e">
        <f t="shared" si="18"/>
        <v>#DIV/0!</v>
      </c>
      <c r="C587" s="257" t="e">
        <f>B587/'Wksht 3. Conversion Factors'!$B$105</f>
        <v>#DIV/0!</v>
      </c>
      <c r="D587" s="257" t="e">
        <f>B587/'Wksht 3. Conversion Factors'!$B$104</f>
        <v>#DIV/0!</v>
      </c>
      <c r="E587" s="257" t="e">
        <f>D587/'Wksht 3. Conversion Factors'!$B$101</f>
        <v>#DIV/0!</v>
      </c>
      <c r="F587" s="257" t="e">
        <f>E587*'Wksht 3. Conversion Factors'!$B$107</f>
        <v>#DIV/0!</v>
      </c>
      <c r="G587" s="282"/>
      <c r="H587" s="256" t="e">
        <f>B587/'Wksht 3. Conversion Factors'!$B$98</f>
        <v>#DIV/0!</v>
      </c>
    </row>
    <row r="588" spans="1:8" s="33" customFormat="1" ht="12.75">
      <c r="A588" s="221" t="s">
        <v>380</v>
      </c>
      <c r="B588" s="281" t="e">
        <f t="shared" si="18"/>
        <v>#DIV/0!</v>
      </c>
      <c r="C588" s="257" t="e">
        <f>B588/'Wksht 3. Conversion Factors'!$B$105</f>
        <v>#DIV/0!</v>
      </c>
      <c r="D588" s="257" t="e">
        <f>B588/'Wksht 3. Conversion Factors'!$B$104</f>
        <v>#DIV/0!</v>
      </c>
      <c r="E588" s="257" t="e">
        <f>D588/'Wksht 3. Conversion Factors'!$B$101</f>
        <v>#DIV/0!</v>
      </c>
      <c r="F588" s="257" t="e">
        <f>E588*'Wksht 3. Conversion Factors'!$B$107</f>
        <v>#DIV/0!</v>
      </c>
      <c r="G588" s="282"/>
      <c r="H588" s="256" t="e">
        <f>B588/'Wksht 3. Conversion Factors'!$B$98</f>
        <v>#DIV/0!</v>
      </c>
    </row>
    <row r="589" spans="1:8" s="33" customFormat="1" ht="12.75">
      <c r="A589" s="221" t="s">
        <v>408</v>
      </c>
      <c r="B589" s="281" t="e">
        <f t="shared" si="18"/>
        <v>#DIV/0!</v>
      </c>
      <c r="C589" s="257" t="e">
        <f>B589/'Wksht 3. Conversion Factors'!$B$105</f>
        <v>#DIV/0!</v>
      </c>
      <c r="D589" s="257" t="e">
        <f>B589/'Wksht 3. Conversion Factors'!$B$104</f>
        <v>#DIV/0!</v>
      </c>
      <c r="E589" s="257" t="e">
        <f>D589/'Wksht 3. Conversion Factors'!$B$101</f>
        <v>#DIV/0!</v>
      </c>
      <c r="F589" s="257" t="e">
        <f>E589*'Wksht 3. Conversion Factors'!$B$107</f>
        <v>#DIV/0!</v>
      </c>
      <c r="G589" s="282"/>
      <c r="H589" s="256" t="e">
        <f>B589/'Wksht 3. Conversion Factors'!$B$98</f>
        <v>#DIV/0!</v>
      </c>
    </row>
    <row r="590" spans="1:8" s="33" customFormat="1" ht="12.75">
      <c r="A590" s="221" t="s">
        <v>409</v>
      </c>
      <c r="B590" s="281" t="e">
        <f t="shared" si="18"/>
        <v>#DIV/0!</v>
      </c>
      <c r="C590" s="257" t="e">
        <f>B590/'Wksht 3. Conversion Factors'!$B$105</f>
        <v>#DIV/0!</v>
      </c>
      <c r="D590" s="257" t="e">
        <f>B590/'Wksht 3. Conversion Factors'!$B$104</f>
        <v>#DIV/0!</v>
      </c>
      <c r="E590" s="257" t="e">
        <f>D590/'Wksht 3. Conversion Factors'!$B$101</f>
        <v>#DIV/0!</v>
      </c>
      <c r="F590" s="257" t="e">
        <f>E590*'Wksht 3. Conversion Factors'!$B$107</f>
        <v>#DIV/0!</v>
      </c>
      <c r="G590" s="282"/>
      <c r="H590" s="256" t="e">
        <f>B590/'Wksht 3. Conversion Factors'!$B$98</f>
        <v>#DIV/0!</v>
      </c>
    </row>
    <row r="591" spans="1:8" s="33" customFormat="1" ht="12.75">
      <c r="A591" s="221" t="s">
        <v>410</v>
      </c>
      <c r="B591" s="281" t="e">
        <f t="shared" si="18"/>
        <v>#DIV/0!</v>
      </c>
      <c r="C591" s="257" t="e">
        <f>B591/'Wksht 3. Conversion Factors'!$B$105</f>
        <v>#DIV/0!</v>
      </c>
      <c r="D591" s="257" t="e">
        <f>B591/'Wksht 3. Conversion Factors'!$B$104</f>
        <v>#DIV/0!</v>
      </c>
      <c r="E591" s="257" t="e">
        <f>D591/'Wksht 3. Conversion Factors'!$B$101</f>
        <v>#DIV/0!</v>
      </c>
      <c r="F591" s="257" t="e">
        <f>E591*'Wksht 3. Conversion Factors'!$B$107</f>
        <v>#DIV/0!</v>
      </c>
      <c r="G591" s="282"/>
      <c r="H591" s="256" t="e">
        <f>B591/'Wksht 3. Conversion Factors'!$B$98</f>
        <v>#DIV/0!</v>
      </c>
    </row>
    <row r="592" spans="1:8" s="33" customFormat="1" ht="12.75">
      <c r="A592" s="221" t="s">
        <v>88</v>
      </c>
      <c r="B592" s="281" t="e">
        <f t="shared" si="18"/>
        <v>#DIV/0!</v>
      </c>
      <c r="C592" s="56" t="e">
        <f>B592/'Wksht 3. Conversion Factors'!$B$105</f>
        <v>#DIV/0!</v>
      </c>
      <c r="D592" s="56" t="e">
        <f>B592/'Wksht 3. Conversion Factors'!$B$104</f>
        <v>#DIV/0!</v>
      </c>
      <c r="E592" s="56" t="e">
        <f>D592/'Wksht 3. Conversion Factors'!$B$101</f>
        <v>#DIV/0!</v>
      </c>
      <c r="F592" s="56" t="e">
        <f>E592*'Wksht 3. Conversion Factors'!$B$107</f>
        <v>#DIV/0!</v>
      </c>
      <c r="G592" s="282"/>
      <c r="H592" s="256" t="e">
        <f>B592/'Wksht 3. Conversion Factors'!$B$98</f>
        <v>#DIV/0!</v>
      </c>
    </row>
    <row r="593" spans="1:8" s="33" customFormat="1" ht="12.75">
      <c r="A593" s="221" t="s">
        <v>322</v>
      </c>
      <c r="B593" s="281" t="e">
        <f t="shared" si="18"/>
        <v>#DIV/0!</v>
      </c>
      <c r="C593" s="257" t="e">
        <f>B593/'Wksht 3. Conversion Factors'!$B$105</f>
        <v>#DIV/0!</v>
      </c>
      <c r="D593" s="257" t="e">
        <f>B593/'Wksht 3. Conversion Factors'!$B$104</f>
        <v>#DIV/0!</v>
      </c>
      <c r="E593" s="257" t="e">
        <f>D593/'Wksht 3. Conversion Factors'!$B$101</f>
        <v>#DIV/0!</v>
      </c>
      <c r="F593" s="257" t="e">
        <f>E593*'Wksht 3. Conversion Factors'!$B$107</f>
        <v>#DIV/0!</v>
      </c>
      <c r="G593" s="282"/>
      <c r="H593" s="256" t="e">
        <f>B593/'Wksht 3. Conversion Factors'!$B$98</f>
        <v>#DIV/0!</v>
      </c>
    </row>
    <row r="594" spans="1:8" s="33" customFormat="1" ht="12.75">
      <c r="A594" s="221" t="s">
        <v>321</v>
      </c>
      <c r="B594" s="281" t="e">
        <f t="shared" si="18"/>
        <v>#DIV/0!</v>
      </c>
      <c r="C594" s="56" t="e">
        <f>B594/'Wksht 3. Conversion Factors'!$B$105</f>
        <v>#DIV/0!</v>
      </c>
      <c r="D594" s="56" t="e">
        <f>B594/'Wksht 3. Conversion Factors'!$B$104</f>
        <v>#DIV/0!</v>
      </c>
      <c r="E594" s="56" t="e">
        <f>D594/'Wksht 3. Conversion Factors'!$B$101</f>
        <v>#DIV/0!</v>
      </c>
      <c r="F594" s="56" t="e">
        <f>E594*'Wksht 3. Conversion Factors'!$B$107</f>
        <v>#DIV/0!</v>
      </c>
      <c r="G594" s="282"/>
      <c r="H594" s="256" t="e">
        <f>B594/'Wksht 3. Conversion Factors'!$B$98</f>
        <v>#DIV/0!</v>
      </c>
    </row>
    <row r="595" spans="1:8" ht="12.75">
      <c r="A595" s="436" t="s">
        <v>323</v>
      </c>
      <c r="B595" s="281" t="e">
        <f t="shared" si="18"/>
        <v>#DIV/0!</v>
      </c>
      <c r="C595" s="56" t="e">
        <f>B595/'Wksht 3. Conversion Factors'!$B$105</f>
        <v>#DIV/0!</v>
      </c>
      <c r="D595" s="56" t="e">
        <f>B595/'Wksht 3. Conversion Factors'!$B$104</f>
        <v>#DIV/0!</v>
      </c>
      <c r="E595" s="56" t="e">
        <f>D595/'Wksht 3. Conversion Factors'!$B$101</f>
        <v>#DIV/0!</v>
      </c>
      <c r="F595" s="56" t="e">
        <f>E595*'Wksht 3. Conversion Factors'!$B$107</f>
        <v>#DIV/0!</v>
      </c>
      <c r="G595" s="282"/>
      <c r="H595" s="256" t="e">
        <f>B595/'Wksht 3. Conversion Factors'!$B$98</f>
        <v>#DIV/0!</v>
      </c>
    </row>
    <row r="596" spans="1:8" s="33" customFormat="1" ht="12.75">
      <c r="A596" s="221" t="s">
        <v>86</v>
      </c>
      <c r="B596" s="281" t="s">
        <v>404</v>
      </c>
      <c r="C596" s="281" t="s">
        <v>404</v>
      </c>
      <c r="D596" s="281" t="s">
        <v>404</v>
      </c>
      <c r="E596" s="281" t="s">
        <v>404</v>
      </c>
      <c r="F596" s="281" t="s">
        <v>404</v>
      </c>
      <c r="G596" s="282"/>
      <c r="H596" s="256" t="s">
        <v>404</v>
      </c>
    </row>
    <row r="597" spans="1:8" s="33" customFormat="1" ht="12.75">
      <c r="A597" s="221" t="s">
        <v>393</v>
      </c>
      <c r="B597" s="281" t="e">
        <f aca="true" t="shared" si="19" ref="B597:B607">E496</f>
        <v>#DIV/0!</v>
      </c>
      <c r="C597" s="56" t="e">
        <f>B597/'Wksht 3. Conversion Factors'!$B$105</f>
        <v>#DIV/0!</v>
      </c>
      <c r="D597" s="56" t="e">
        <f>B597/'Wksht 3. Conversion Factors'!$B$104</f>
        <v>#DIV/0!</v>
      </c>
      <c r="E597" s="56" t="e">
        <f>D597/'Wksht 3. Conversion Factors'!$B$101</f>
        <v>#DIV/0!</v>
      </c>
      <c r="F597" s="56" t="e">
        <f>E597*'Wksht 3. Conversion Factors'!$B$107</f>
        <v>#DIV/0!</v>
      </c>
      <c r="G597" s="282"/>
      <c r="H597" s="256" t="e">
        <f>B597/'Wksht 3. Conversion Factors'!$B$98</f>
        <v>#DIV/0!</v>
      </c>
    </row>
    <row r="598" spans="1:8" s="33" customFormat="1" ht="12.75">
      <c r="A598" s="221" t="s">
        <v>407</v>
      </c>
      <c r="B598" s="281" t="e">
        <f t="shared" si="19"/>
        <v>#DIV/0!</v>
      </c>
      <c r="C598" s="257" t="e">
        <f>B598/'Wksht 3. Conversion Factors'!$B$105</f>
        <v>#DIV/0!</v>
      </c>
      <c r="D598" s="257" t="e">
        <f>B598/'Wksht 3. Conversion Factors'!$B$104</f>
        <v>#DIV/0!</v>
      </c>
      <c r="E598" s="257" t="e">
        <f>D598/'Wksht 3. Conversion Factors'!$B$101</f>
        <v>#DIV/0!</v>
      </c>
      <c r="F598" s="257" t="e">
        <f>E598*'Wksht 3. Conversion Factors'!$B$107</f>
        <v>#DIV/0!</v>
      </c>
      <c r="G598" s="282"/>
      <c r="H598" s="256" t="e">
        <f>B598/'Wksht 3. Conversion Factors'!$B$98</f>
        <v>#DIV/0!</v>
      </c>
    </row>
    <row r="599" spans="1:8" s="33" customFormat="1" ht="12.75">
      <c r="A599" s="221" t="s">
        <v>68</v>
      </c>
      <c r="B599" s="281" t="e">
        <f t="shared" si="19"/>
        <v>#DIV/0!</v>
      </c>
      <c r="C599" s="257" t="e">
        <f>B599/'Wksht 3. Conversion Factors'!$B$105</f>
        <v>#DIV/0!</v>
      </c>
      <c r="D599" s="257" t="e">
        <f>B599/'Wksht 3. Conversion Factors'!$B$104</f>
        <v>#DIV/0!</v>
      </c>
      <c r="E599" s="257" t="e">
        <f>D599/'Wksht 3. Conversion Factors'!$B$101</f>
        <v>#DIV/0!</v>
      </c>
      <c r="F599" s="257" t="e">
        <f>E599*'Wksht 3. Conversion Factors'!$B$107</f>
        <v>#DIV/0!</v>
      </c>
      <c r="G599" s="282"/>
      <c r="H599" s="256" t="e">
        <f>B599/'Wksht 3. Conversion Factors'!$B$98</f>
        <v>#DIV/0!</v>
      </c>
    </row>
    <row r="600" spans="1:8" s="33" customFormat="1" ht="12.75">
      <c r="A600" s="221" t="s">
        <v>144</v>
      </c>
      <c r="B600" s="281" t="str">
        <f t="shared" si="19"/>
        <v>NA</v>
      </c>
      <c r="C600" s="56" t="s">
        <v>404</v>
      </c>
      <c r="D600" s="56" t="s">
        <v>404</v>
      </c>
      <c r="E600" s="56" t="s">
        <v>404</v>
      </c>
      <c r="F600" s="56" t="s">
        <v>404</v>
      </c>
      <c r="G600" s="282"/>
      <c r="H600" s="256" t="s">
        <v>404</v>
      </c>
    </row>
    <row r="601" spans="1:8" s="33" customFormat="1" ht="12.75">
      <c r="A601" s="221" t="s">
        <v>145</v>
      </c>
      <c r="B601" s="281" t="e">
        <f t="shared" si="19"/>
        <v>#DIV/0!</v>
      </c>
      <c r="C601" s="56" t="e">
        <f>B601/'Wksht 3. Conversion Factors'!$B$105</f>
        <v>#DIV/0!</v>
      </c>
      <c r="D601" s="56" t="e">
        <f>B601/'Wksht 3. Conversion Factors'!$B$104</f>
        <v>#DIV/0!</v>
      </c>
      <c r="E601" s="56" t="e">
        <f>D601/'Wksht 3. Conversion Factors'!$B$101</f>
        <v>#DIV/0!</v>
      </c>
      <c r="F601" s="56" t="e">
        <f>E601*'Wksht 3. Conversion Factors'!$B$107</f>
        <v>#DIV/0!</v>
      </c>
      <c r="G601" s="282"/>
      <c r="H601" s="256" t="e">
        <f>B601/'Wksht 3. Conversion Factors'!$B$98</f>
        <v>#DIV/0!</v>
      </c>
    </row>
    <row r="602" spans="1:8" s="33" customFormat="1" ht="12.75">
      <c r="A602" s="221" t="s">
        <v>146</v>
      </c>
      <c r="B602" s="281" t="e">
        <f t="shared" si="19"/>
        <v>#DIV/0!</v>
      </c>
      <c r="C602" s="56" t="e">
        <f>B602/'Wksht 3. Conversion Factors'!$B$105</f>
        <v>#DIV/0!</v>
      </c>
      <c r="D602" s="56" t="e">
        <f>B602/'Wksht 3. Conversion Factors'!$B$104</f>
        <v>#DIV/0!</v>
      </c>
      <c r="E602" s="56" t="e">
        <f>D602/'Wksht 3. Conversion Factors'!$B$101</f>
        <v>#DIV/0!</v>
      </c>
      <c r="F602" s="56" t="e">
        <f>E602*'Wksht 3. Conversion Factors'!$B$107</f>
        <v>#DIV/0!</v>
      </c>
      <c r="G602" s="282"/>
      <c r="H602" s="256" t="e">
        <f>B602/'Wksht 3. Conversion Factors'!$B$98</f>
        <v>#DIV/0!</v>
      </c>
    </row>
    <row r="603" spans="1:8" s="33" customFormat="1" ht="12.75">
      <c r="A603" s="221" t="s">
        <v>85</v>
      </c>
      <c r="B603" s="281" t="e">
        <f t="shared" si="19"/>
        <v>#DIV/0!</v>
      </c>
      <c r="C603" s="257" t="e">
        <f>B603/'Wksht 3. Conversion Factors'!$B$105</f>
        <v>#DIV/0!</v>
      </c>
      <c r="D603" s="257" t="e">
        <f>B603/'Wksht 3. Conversion Factors'!$B$104</f>
        <v>#DIV/0!</v>
      </c>
      <c r="E603" s="257" t="e">
        <f>D603/'Wksht 3. Conversion Factors'!$B$101</f>
        <v>#DIV/0!</v>
      </c>
      <c r="F603" s="257" t="e">
        <f>E603*'Wksht 3. Conversion Factors'!$B$107</f>
        <v>#DIV/0!</v>
      </c>
      <c r="G603" s="282"/>
      <c r="H603" s="256" t="e">
        <f>B603/'Wksht 3. Conversion Factors'!$B$98</f>
        <v>#DIV/0!</v>
      </c>
    </row>
    <row r="604" spans="1:8" s="33" customFormat="1" ht="12.75">
      <c r="A604" s="221" t="s">
        <v>479</v>
      </c>
      <c r="B604" s="281" t="e">
        <f t="shared" si="19"/>
        <v>#DIV/0!</v>
      </c>
      <c r="C604" s="257" t="e">
        <f>B604/'Wksht 3. Conversion Factors'!$B$105</f>
        <v>#DIV/0!</v>
      </c>
      <c r="D604" s="257" t="e">
        <f>B604/'Wksht 3. Conversion Factors'!$B$104</f>
        <v>#DIV/0!</v>
      </c>
      <c r="E604" s="257" t="e">
        <f>D604/'Wksht 3. Conversion Factors'!$B$101</f>
        <v>#DIV/0!</v>
      </c>
      <c r="F604" s="257" t="e">
        <f>E604*'Wksht 3. Conversion Factors'!$B$107</f>
        <v>#DIV/0!</v>
      </c>
      <c r="G604" s="282"/>
      <c r="H604" s="256" t="e">
        <f>B604/'Wksht 3. Conversion Factors'!$B$98</f>
        <v>#DIV/0!</v>
      </c>
    </row>
    <row r="605" spans="1:8" s="33" customFormat="1" ht="12.75">
      <c r="A605" s="221" t="s">
        <v>480</v>
      </c>
      <c r="B605" s="281" t="e">
        <f t="shared" si="19"/>
        <v>#DIV/0!</v>
      </c>
      <c r="C605" s="257" t="e">
        <f>B605/'Wksht 3. Conversion Factors'!$B$105</f>
        <v>#DIV/0!</v>
      </c>
      <c r="D605" s="257" t="e">
        <f>B605/'Wksht 3. Conversion Factors'!$B$104</f>
        <v>#DIV/0!</v>
      </c>
      <c r="E605" s="257" t="e">
        <f>D605/'Wksht 3. Conversion Factors'!$B$101</f>
        <v>#DIV/0!</v>
      </c>
      <c r="F605" s="257" t="e">
        <f>E605*'Wksht 3. Conversion Factors'!$B$107</f>
        <v>#DIV/0!</v>
      </c>
      <c r="G605" s="282"/>
      <c r="H605" s="256" t="e">
        <f>B605/'Wksht 3. Conversion Factors'!$B$98</f>
        <v>#DIV/0!</v>
      </c>
    </row>
    <row r="606" spans="1:8" s="33" customFormat="1" ht="12.75">
      <c r="A606" s="221" t="s">
        <v>389</v>
      </c>
      <c r="B606" s="281" t="e">
        <f t="shared" si="19"/>
        <v>#DIV/0!</v>
      </c>
      <c r="C606" s="257" t="e">
        <f>B606/'Wksht 3. Conversion Factors'!$B$105</f>
        <v>#DIV/0!</v>
      </c>
      <c r="D606" s="257" t="e">
        <f>B606/'Wksht 3. Conversion Factors'!$B$104</f>
        <v>#DIV/0!</v>
      </c>
      <c r="E606" s="257" t="e">
        <f>D606/'Wksht 3. Conversion Factors'!$B$101</f>
        <v>#DIV/0!</v>
      </c>
      <c r="F606" s="257" t="e">
        <f>E606*'Wksht 3. Conversion Factors'!$B$107</f>
        <v>#DIV/0!</v>
      </c>
      <c r="G606" s="282"/>
      <c r="H606" s="256" t="e">
        <f>B606/'Wksht 3. Conversion Factors'!$B$98</f>
        <v>#DIV/0!</v>
      </c>
    </row>
    <row r="607" spans="1:8" s="33" customFormat="1" ht="12.75">
      <c r="A607" s="221" t="s">
        <v>481</v>
      </c>
      <c r="B607" s="281" t="e">
        <f t="shared" si="19"/>
        <v>#DIV/0!</v>
      </c>
      <c r="C607" s="257" t="e">
        <f>B607/'Wksht 3. Conversion Factors'!$B$105</f>
        <v>#DIV/0!</v>
      </c>
      <c r="D607" s="257" t="e">
        <f>B607/'Wksht 3. Conversion Factors'!$B$104</f>
        <v>#DIV/0!</v>
      </c>
      <c r="E607" s="257" t="e">
        <f>D607/'Wksht 3. Conversion Factors'!$B$101</f>
        <v>#DIV/0!</v>
      </c>
      <c r="F607" s="257" t="e">
        <f>E607*'Wksht 3. Conversion Factors'!$B$107</f>
        <v>#DIV/0!</v>
      </c>
      <c r="G607" s="282"/>
      <c r="H607" s="256" t="e">
        <f>B607/'Wksht 3. Conversion Factors'!$B$98</f>
        <v>#DIV/0!</v>
      </c>
    </row>
    <row r="608" spans="1:8" s="33" customFormat="1" ht="12.75">
      <c r="A608" s="222" t="s">
        <v>87</v>
      </c>
      <c r="B608" s="494" t="s">
        <v>404</v>
      </c>
      <c r="C608" s="494" t="s">
        <v>404</v>
      </c>
      <c r="D608" s="494" t="s">
        <v>404</v>
      </c>
      <c r="E608" s="494" t="s">
        <v>404</v>
      </c>
      <c r="F608" s="494" t="s">
        <v>404</v>
      </c>
      <c r="G608" s="282"/>
      <c r="H608" s="495" t="s">
        <v>404</v>
      </c>
    </row>
    <row r="609" spans="1:8" s="33" customFormat="1" ht="12.75">
      <c r="A609" s="221" t="s">
        <v>337</v>
      </c>
      <c r="B609" s="486" t="e">
        <f>E508</f>
        <v>#DIV/0!</v>
      </c>
      <c r="C609" s="486" t="e">
        <f>B609/'Wksht 3. Conversion Factors'!$B$105</f>
        <v>#DIV/0!</v>
      </c>
      <c r="D609" s="486" t="e">
        <f>B609/'Wksht 3. Conversion Factors'!$B$104</f>
        <v>#DIV/0!</v>
      </c>
      <c r="E609" s="486" t="e">
        <f>D609/'Wksht 3. Conversion Factors'!$B$101</f>
        <v>#DIV/0!</v>
      </c>
      <c r="F609" s="486" t="e">
        <f>E609*'Wksht 3. Conversion Factors'!$B$107</f>
        <v>#DIV/0!</v>
      </c>
      <c r="G609" s="519"/>
      <c r="H609" s="488" t="e">
        <f>B609/'Wksht 3. Conversion Factors'!$B$98</f>
        <v>#DIV/0!</v>
      </c>
    </row>
    <row r="610" spans="1:8" s="33" customFormat="1" ht="12.75">
      <c r="A610" s="489"/>
      <c r="B610" s="487"/>
      <c r="C610" s="487"/>
      <c r="D610" s="487"/>
      <c r="E610" s="487"/>
      <c r="F610" s="487"/>
      <c r="G610" s="487"/>
      <c r="H610" s="490"/>
    </row>
    <row r="611" spans="1:11" s="33" customFormat="1" ht="28.5" customHeight="1" thickBot="1">
      <c r="A611" s="492" t="s">
        <v>425</v>
      </c>
      <c r="B611" s="496" t="e">
        <f>B458+B609</f>
        <v>#DIV/0!</v>
      </c>
      <c r="C611" s="496" t="e">
        <f>C458+C609</f>
        <v>#DIV/0!</v>
      </c>
      <c r="D611" s="496" t="e">
        <f>D458+D609</f>
        <v>#DIV/0!</v>
      </c>
      <c r="E611" s="496" t="e">
        <f>E458+E609</f>
        <v>#DIV/0!</v>
      </c>
      <c r="F611" s="496" t="e">
        <f>F458+F609</f>
        <v>#DIV/0!</v>
      </c>
      <c r="G611" s="518"/>
      <c r="H611" s="497" t="e">
        <f>H458+H609</f>
        <v>#DIV/0!</v>
      </c>
      <c r="I611" s="23"/>
      <c r="J611" s="30"/>
      <c r="K611" s="30"/>
    </row>
    <row r="612" spans="1:7" s="33" customFormat="1" ht="12.75">
      <c r="A612" s="224" t="s">
        <v>438</v>
      </c>
      <c r="E612" s="30"/>
      <c r="F612" s="30"/>
      <c r="G612" s="30"/>
    </row>
    <row r="613" spans="1:7" s="33" customFormat="1" ht="12.75">
      <c r="A613" s="107" t="s">
        <v>426</v>
      </c>
      <c r="E613" s="30"/>
      <c r="F613" s="30"/>
      <c r="G613" s="30"/>
    </row>
    <row r="614" spans="1:8" s="33" customFormat="1" ht="12.75">
      <c r="A614" s="33" t="str">
        <f>'Wksht 3. Conversion Factors'!B91</f>
        <v>U.S. EPA. "WARM Online, Version 8." (June 2006). 26 June 06 http://yosemite.epa.gov/oar/globalwarming.nsf/WARM.</v>
      </c>
      <c r="E614" s="30"/>
      <c r="F614" s="30"/>
      <c r="G614" s="30"/>
      <c r="H614" s="22"/>
    </row>
    <row r="615" spans="1:9" s="8" customFormat="1" ht="29.25" customHeight="1">
      <c r="A615" s="585" t="str">
        <f>'Wksht 3. Conversion Factors'!B92</f>
        <v>U.S. EPA. "Solid Waste Management and Greenhouse Gases: A Life-Cycle Assessment of Emissions and Sinks. 2nd edition." EPA 530-R-02-006. 11 Nov 2005 http://www.epa.gov/epaoswer/non-hw/muncpl/ghg/ghg.htm. </v>
      </c>
      <c r="B615" s="571"/>
      <c r="C615" s="571"/>
      <c r="D615" s="571"/>
      <c r="E615" s="571"/>
      <c r="F615" s="571"/>
      <c r="G615" s="571"/>
      <c r="H615" s="571"/>
      <c r="I615" s="571"/>
    </row>
    <row r="616" spans="1:9" s="8" customFormat="1" ht="26.25" customHeight="1">
      <c r="A616" s="585" t="str">
        <f>'Wksht 3. Conversion Factors'!D98</f>
        <v>U.S. Department of Energy. Office of Energy Efficiency and Renewable Energy.  "2005 Buildings Energy Databook: 1.2.4 Residential Delivered and Primary Energy Consumption Intensities, by Year." (2006). 18 Jan 06 http://btscoredatabook.eren.doe.gov/docs/1.2.4.pdf.</v>
      </c>
      <c r="B616" s="571"/>
      <c r="C616" s="571"/>
      <c r="D616" s="571"/>
      <c r="E616" s="571"/>
      <c r="F616" s="571"/>
      <c r="G616" s="571"/>
      <c r="H616" s="571"/>
      <c r="I616" s="571"/>
    </row>
    <row r="617" spans="1:9" s="8" customFormat="1" ht="12.75">
      <c r="A617" s="621" t="str">
        <f>'Wksht 3. Conversion Factors'!D101</f>
        <v>Federal Highway Administration (FHWA). "Table VM-1: Annual Vehicle Distance Traveled in Miles and Related Data- 2004".  (2006) 1 Sept 06 http://www.fhwa.dot.gov/policy/ohim/hs04/pdf/vm1.pdf.</v>
      </c>
      <c r="B617" s="571"/>
      <c r="C617" s="571"/>
      <c r="D617" s="571"/>
      <c r="E617" s="571"/>
      <c r="F617" s="571"/>
      <c r="G617" s="571"/>
      <c r="H617" s="571"/>
      <c r="I617" s="571"/>
    </row>
    <row r="618" spans="1:9" s="8" customFormat="1" ht="29.25" customHeight="1">
      <c r="A618" s="621" t="str">
        <f>'Wksht 3. Conversion Factors'!D102</f>
        <v>Energy Information Adminstration (EIA).  "Annual Energy Review 2005: Table A3: Approximate Heat Content of Petroleum Consumption, Selected Years, 1949-2005."  (2006). 1 Sept 06 http://www.eia.doe.gov/emeu/aer/pdf/pages/sec13_3.pdf.  </v>
      </c>
      <c r="B618" s="571"/>
      <c r="C618" s="571"/>
      <c r="D618" s="571"/>
      <c r="E618" s="571"/>
      <c r="F618" s="571"/>
      <c r="G618" s="571"/>
      <c r="H618" s="571"/>
      <c r="I618" s="571"/>
    </row>
    <row r="619" spans="1:9" s="8" customFormat="1" ht="41.25" customHeight="1">
      <c r="A619" s="552" t="str">
        <f>'Wksht 3. Conversion Factors'!D105</f>
        <v>U.S. EPA and ICF Consulting Group. "Waste Management and Energy Savings: Benefits by the Numbers."  (2005). 18 Jan 06 http://yosemite.epa.gov/OAR/globalwarming.nsf/UniqueKeyLookup/TMAL6GDR3K/$File/Energy%20Savings.pdf. Another source: Energy Information Adminstration (EIA).  "Annual Energy Review 2005: Table A2: Approximate Heat Content of Petroleum Production, Imports, and Exports, Selected Years, 1949-2005." (2006). 1 Sept 06  http://www.eia.doe.gov/emeu/aer/pdf/pages/sec13_2.pdf.  </v>
      </c>
      <c r="B619" s="553"/>
      <c r="C619" s="553"/>
      <c r="D619" s="553"/>
      <c r="E619" s="553"/>
      <c r="F619" s="553"/>
      <c r="G619" s="553"/>
      <c r="H619" s="553"/>
      <c r="I619" s="553"/>
    </row>
    <row r="620" spans="1:8" s="8" customFormat="1" ht="12" customHeight="1">
      <c r="A620" s="623" t="str">
        <f>'Wksht 3. Conversion Factors'!D107</f>
        <v>U.S. Climate Technology Cooperation Gateway. "Greenhouse Gas Equivalencies Calculator." 18 Jan 06 http://www.usctcgateway.net/tool/.</v>
      </c>
      <c r="B620" s="571"/>
      <c r="C620" s="571"/>
      <c r="D620" s="571"/>
      <c r="E620" s="571"/>
      <c r="F620" s="571"/>
      <c r="G620" s="571"/>
      <c r="H620" s="571"/>
    </row>
    <row r="621" spans="1:7" s="8" customFormat="1" ht="18">
      <c r="A621" s="238" t="s">
        <v>264</v>
      </c>
      <c r="B621" s="33"/>
      <c r="E621" s="10"/>
      <c r="F621" s="10"/>
      <c r="G621" s="10"/>
    </row>
    <row r="622" spans="1:7" s="8" customFormat="1" ht="13.5" thickBot="1">
      <c r="A622" s="217"/>
      <c r="E622" s="10"/>
      <c r="F622" s="10"/>
      <c r="G622" s="10"/>
    </row>
    <row r="623" spans="1:8" s="8" customFormat="1" ht="18" customHeight="1" thickBot="1">
      <c r="A623" s="217"/>
      <c r="B623" s="607" t="s">
        <v>210</v>
      </c>
      <c r="C623" s="608"/>
      <c r="D623" s="607" t="s">
        <v>211</v>
      </c>
      <c r="E623" s="633"/>
      <c r="F623" s="607" t="s">
        <v>212</v>
      </c>
      <c r="G623" s="608"/>
      <c r="H623" s="15"/>
    </row>
    <row r="624" spans="1:7" s="29" customFormat="1" ht="106.5" customHeight="1">
      <c r="A624" s="239"/>
      <c r="B624" s="55" t="s">
        <v>289</v>
      </c>
      <c r="C624" s="39" t="s">
        <v>265</v>
      </c>
      <c r="D624" s="75" t="s">
        <v>161</v>
      </c>
      <c r="E624" s="51" t="s">
        <v>266</v>
      </c>
      <c r="F624" s="72" t="s">
        <v>290</v>
      </c>
      <c r="G624" s="37" t="s">
        <v>267</v>
      </c>
    </row>
    <row r="625" spans="1:8" s="33" customFormat="1" ht="12.75">
      <c r="A625" s="240" t="s">
        <v>439</v>
      </c>
      <c r="B625" s="441"/>
      <c r="C625" s="59"/>
      <c r="D625" s="59"/>
      <c r="E625" s="442"/>
      <c r="F625" s="443"/>
      <c r="G625" s="60"/>
      <c r="H625" s="30"/>
    </row>
    <row r="626" spans="1:8" s="33" customFormat="1" ht="12.75">
      <c r="A626" s="437" t="s">
        <v>430</v>
      </c>
      <c r="B626" s="438">
        <f>'Wksht 1. Data Inputs'!B149</f>
        <v>2002</v>
      </c>
      <c r="C626" s="439"/>
      <c r="D626" s="438">
        <f>'Wksht 1. Data Inputs'!B171</f>
        <v>2002</v>
      </c>
      <c r="E626" s="440"/>
      <c r="F626" s="295"/>
      <c r="G626" s="284"/>
      <c r="H626" s="30"/>
    </row>
    <row r="627" spans="1:8" s="33" customFormat="1" ht="12.75">
      <c r="A627" s="241" t="s">
        <v>442</v>
      </c>
      <c r="B627" s="73">
        <f>'Wksht 1. Data Inputs'!B151*1000000</f>
        <v>951200000</v>
      </c>
      <c r="C627" s="42" t="e">
        <f>-(($E$508+$E$363)/B627)*100</f>
        <v>#DIV/0!</v>
      </c>
      <c r="D627" s="76">
        <f>'Wksht 1. Data Inputs'!B173</f>
        <v>8331.1</v>
      </c>
      <c r="E627" s="204" t="e">
        <f>D627*C627</f>
        <v>#DIV/0!</v>
      </c>
      <c r="F627" s="296"/>
      <c r="G627" s="265"/>
      <c r="H627" s="30"/>
    </row>
    <row r="628" spans="1:8" s="33" customFormat="1" ht="12.75">
      <c r="A628" s="241" t="s">
        <v>402</v>
      </c>
      <c r="B628" s="73">
        <f>'Wksht 1. Data Inputs'!B152*1000000</f>
        <v>696400000</v>
      </c>
      <c r="C628" s="42" t="e">
        <f>-(($E$508+$E$363)/B628)*100</f>
        <v>#DIV/0!</v>
      </c>
      <c r="D628" s="76">
        <f>'Wksht 1. Data Inputs'!B174</f>
        <v>5145.1</v>
      </c>
      <c r="E628" s="204" t="e">
        <f>D628*C628</f>
        <v>#DIV/0!</v>
      </c>
      <c r="F628" s="296"/>
      <c r="G628" s="265"/>
      <c r="H628" s="30"/>
    </row>
    <row r="629" spans="1:8" s="33" customFormat="1" ht="12.75">
      <c r="A629" s="241" t="s">
        <v>396</v>
      </c>
      <c r="B629" s="73">
        <f>'Wksht 1. Data Inputs'!B153*1000000</f>
        <v>1267300000</v>
      </c>
      <c r="C629" s="42" t="e">
        <f>-(($E$508+$E$363)/B629)*100</f>
        <v>#DIV/0!</v>
      </c>
      <c r="D629" s="76">
        <f>'Wksht 1. Data Inputs'!B175</f>
        <v>5503.9</v>
      </c>
      <c r="E629" s="204" t="e">
        <f>D629*C629</f>
        <v>#DIV/0!</v>
      </c>
      <c r="F629" s="296"/>
      <c r="G629" s="284"/>
      <c r="H629" s="30"/>
    </row>
    <row r="630" spans="1:8" s="33" customFormat="1" ht="12.75">
      <c r="A630" s="241" t="s">
        <v>395</v>
      </c>
      <c r="B630" s="73">
        <f>'Wksht 1. Data Inputs'!B154*1000000</f>
        <v>1001500000</v>
      </c>
      <c r="C630" s="42" t="e">
        <f>-(($E$508+$E$363)/B630)*100</f>
        <v>#DIV/0!</v>
      </c>
      <c r="D630" s="76">
        <f>'Wksht 1. Data Inputs'!B176</f>
        <v>9721</v>
      </c>
      <c r="E630" s="204" t="e">
        <f>D630*C630</f>
        <v>#DIV/0!</v>
      </c>
      <c r="F630" s="296"/>
      <c r="G630" s="284"/>
      <c r="H630" s="30"/>
    </row>
    <row r="631" spans="1:8" s="33" customFormat="1" ht="13.5" thickBot="1">
      <c r="A631" s="242" t="s">
        <v>446</v>
      </c>
      <c r="B631" s="74">
        <f>'Wksht 1. Data Inputs'!B150*1000000</f>
        <v>3916300000</v>
      </c>
      <c r="C631" s="506" t="e">
        <f>-(($E$508+$E$363)/B631)*100</f>
        <v>#DIV/0!</v>
      </c>
      <c r="D631" s="77">
        <f>'Wksht 1. Data Inputs'!B172</f>
        <v>28701.1</v>
      </c>
      <c r="E631" s="205" t="e">
        <f>D631*C631</f>
        <v>#DIV/0!</v>
      </c>
      <c r="F631" s="297"/>
      <c r="G631" s="298"/>
      <c r="H631" s="30"/>
    </row>
    <row r="632" spans="1:8" s="33" customFormat="1" ht="13.5" thickBot="1">
      <c r="A632" s="224"/>
      <c r="B632" s="21"/>
      <c r="C632" s="34"/>
      <c r="D632" s="35"/>
      <c r="E632" s="21"/>
      <c r="F632" s="30"/>
      <c r="G632" s="31"/>
      <c r="H632" s="30"/>
    </row>
    <row r="633" spans="1:8" s="33" customFormat="1" ht="12.75">
      <c r="A633" s="243" t="s">
        <v>440</v>
      </c>
      <c r="B633" s="64"/>
      <c r="C633" s="57"/>
      <c r="D633" s="448"/>
      <c r="E633" s="449"/>
      <c r="F633" s="58"/>
      <c r="G633" s="40"/>
      <c r="H633" s="30"/>
    </row>
    <row r="634" spans="1:8" s="33" customFormat="1" ht="12.75">
      <c r="A634" s="444" t="s">
        <v>430</v>
      </c>
      <c r="B634" s="438">
        <f>'Wksht 1. Data Inputs'!B160</f>
        <v>2002</v>
      </c>
      <c r="C634" s="445"/>
      <c r="D634" s="283"/>
      <c r="E634" s="284"/>
      <c r="F634" s="446">
        <f>'Wksht 1. Data Inputs'!B184</f>
        <v>1995</v>
      </c>
      <c r="G634" s="447"/>
      <c r="H634" s="30"/>
    </row>
    <row r="635" spans="1:8" s="33" customFormat="1" ht="12.75">
      <c r="A635" s="244" t="s">
        <v>475</v>
      </c>
      <c r="B635" s="73">
        <f>'Wksht 1. Data Inputs'!B161*1000000</f>
        <v>1425600000</v>
      </c>
      <c r="C635" s="42" t="e">
        <f aca="true" t="shared" si="20" ref="C635:C640">-(($E$508+$E$363)/B635)*100</f>
        <v>#DIV/0!</v>
      </c>
      <c r="D635" s="285"/>
      <c r="E635" s="284"/>
      <c r="F635" s="291"/>
      <c r="G635" s="284"/>
      <c r="H635" s="30"/>
    </row>
    <row r="636" spans="1:8" s="33" customFormat="1" ht="12.75">
      <c r="A636" s="241" t="s">
        <v>441</v>
      </c>
      <c r="B636" s="73">
        <f>'Wksht 1. Data Inputs'!B162*1000000</f>
        <v>710700000</v>
      </c>
      <c r="C636" s="42" t="e">
        <f t="shared" si="20"/>
        <v>#DIV/0!</v>
      </c>
      <c r="D636" s="286"/>
      <c r="E636" s="287"/>
      <c r="F636" s="292"/>
      <c r="G636" s="216"/>
      <c r="H636" s="30"/>
    </row>
    <row r="637" spans="1:8" s="33" customFormat="1" ht="12.75">
      <c r="A637" s="241" t="s">
        <v>443</v>
      </c>
      <c r="B637" s="73">
        <f>'Wksht 1. Data Inputs'!B163*1000000</f>
        <v>1441900000</v>
      </c>
      <c r="C637" s="42" t="e">
        <f t="shared" si="20"/>
        <v>#DIV/0!</v>
      </c>
      <c r="D637" s="286"/>
      <c r="E637" s="287"/>
      <c r="F637" s="206">
        <f>F640*'Wksht 1. Data Inputs'!B186/100</f>
        <v>330306143.3447099</v>
      </c>
      <c r="G637" s="44" t="e">
        <f>-(($E$508+$E$363)/F637)*100</f>
        <v>#DIV/0!</v>
      </c>
      <c r="H637" s="30"/>
    </row>
    <row r="638" spans="1:8" s="33" customFormat="1" ht="12.75">
      <c r="A638" s="241" t="s">
        <v>444</v>
      </c>
      <c r="B638" s="73">
        <f>'Wksht 1. Data Inputs'!B164*1000000</f>
        <v>22500000</v>
      </c>
      <c r="C638" s="42" t="e">
        <f t="shared" si="20"/>
        <v>#DIV/0!</v>
      </c>
      <c r="D638" s="286"/>
      <c r="E638" s="287"/>
      <c r="F638" s="293"/>
      <c r="G638" s="294"/>
      <c r="H638" s="30"/>
    </row>
    <row r="639" spans="1:8" s="33" customFormat="1" ht="12.75">
      <c r="A639" s="241" t="s">
        <v>445</v>
      </c>
      <c r="B639" s="73">
        <f>'Wksht 1. Data Inputs'!B165*1000000</f>
        <v>794300000</v>
      </c>
      <c r="C639" s="42" t="e">
        <f t="shared" si="20"/>
        <v>#DIV/0!</v>
      </c>
      <c r="D639" s="286"/>
      <c r="E639" s="287"/>
      <c r="F639" s="206">
        <f>F640*'Wksht 1. Data Inputs'!B187/100</f>
        <v>226545051.19453922</v>
      </c>
      <c r="G639" s="44" t="e">
        <f>-(($E$508+$E$363)/F639)*100</f>
        <v>#DIV/0!</v>
      </c>
      <c r="H639" s="30"/>
    </row>
    <row r="640" spans="1:8" s="33" customFormat="1" ht="13.5" thickBot="1">
      <c r="A640" s="242" t="s">
        <v>401</v>
      </c>
      <c r="B640" s="74">
        <f>SUM(B635:B639)</f>
        <v>4395000000</v>
      </c>
      <c r="C640" s="506" t="e">
        <f t="shared" si="20"/>
        <v>#DIV/0!</v>
      </c>
      <c r="D640" s="288"/>
      <c r="E640" s="289"/>
      <c r="F640" s="207">
        <f>'Wksht 1. Data Inputs'!B185*1000/0.000293</f>
        <v>576450511.9453925</v>
      </c>
      <c r="G640" s="506" t="e">
        <f>-(($E$508+$E$363)/F640)*100</f>
        <v>#DIV/0!</v>
      </c>
      <c r="H640" s="30"/>
    </row>
    <row r="641" spans="1:8" s="33" customFormat="1" ht="13.5" thickBot="1">
      <c r="A641" s="224"/>
      <c r="B641" s="21"/>
      <c r="C641" s="34"/>
      <c r="D641" s="21"/>
      <c r="E641" s="21"/>
      <c r="F641" s="208"/>
      <c r="G641" s="34"/>
      <c r="H641" s="30"/>
    </row>
    <row r="642" spans="1:8" s="33" customFormat="1" ht="12.75">
      <c r="A642" s="245" t="s">
        <v>447</v>
      </c>
      <c r="B642" s="61"/>
      <c r="C642" s="61"/>
      <c r="D642" s="64"/>
      <c r="E642" s="64"/>
      <c r="F642" s="209"/>
      <c r="G642" s="210"/>
      <c r="H642" s="30"/>
    </row>
    <row r="643" spans="1:8" s="33" customFormat="1" ht="13.5" thickBot="1">
      <c r="A643" s="242" t="s">
        <v>474</v>
      </c>
      <c r="B643" s="74">
        <f>B627/'Wksht 1. Data Inputs'!B199</f>
        <v>199.1206620552677</v>
      </c>
      <c r="C643" s="290"/>
      <c r="D643" s="211"/>
      <c r="E643" s="211"/>
      <c r="F643" s="212"/>
      <c r="G643" s="213"/>
      <c r="H643" s="30"/>
    </row>
    <row r="644" spans="1:8" s="33" customFormat="1" ht="12.75">
      <c r="A644" s="224"/>
      <c r="E644" s="30"/>
      <c r="F644" s="30"/>
      <c r="G644" s="30"/>
      <c r="H644" s="30"/>
    </row>
    <row r="645" spans="1:8" s="33" customFormat="1" ht="12.75">
      <c r="A645" s="224" t="s">
        <v>438</v>
      </c>
      <c r="E645" s="30"/>
      <c r="F645" s="30"/>
      <c r="G645" s="30"/>
      <c r="H645" s="30"/>
    </row>
    <row r="646" spans="1:8" s="33" customFormat="1" ht="12.75">
      <c r="A646" s="33" t="str">
        <f>A329</f>
        <v>Table 5a.  Energy Savings as a Result of Source Reduction and Reuse</v>
      </c>
      <c r="E646" s="30"/>
      <c r="F646" s="30"/>
      <c r="G646" s="30"/>
      <c r="H646" s="30"/>
    </row>
    <row r="647" spans="1:8" s="33" customFormat="1" ht="12.75">
      <c r="A647" s="33" t="str">
        <f>A468</f>
        <v>Table 6a.  Energy Savings as a Result of Recycling</v>
      </c>
      <c r="E647" s="30"/>
      <c r="F647" s="30"/>
      <c r="G647" s="30"/>
      <c r="H647" s="30"/>
    </row>
    <row r="648" spans="1:8" s="33" customFormat="1" ht="12.75">
      <c r="A648" s="617" t="str">
        <f>'Wksht 1. Data Inputs'!B143</f>
        <v>U.S. Energy Information Administration (EIA). "EIA State Energy Page." (2006).  1 Sept 06 http://www.eia.doe.gov/emeu/states/_states.html.</v>
      </c>
      <c r="B648" s="571"/>
      <c r="C648" s="571"/>
      <c r="D648" s="571"/>
      <c r="E648" s="571"/>
      <c r="F648" s="571"/>
      <c r="G648" s="571"/>
      <c r="H648" s="571"/>
    </row>
    <row r="649" spans="1:8" s="33" customFormat="1" ht="12.75">
      <c r="A649" s="617" t="str">
        <f>'Wksht 1. Data Inputs'!B179</f>
        <v>U.S. Department of Commerce.  "State and Metropolitan Area Data Book - 5th Edition." (1997-1998). 21 Dec 05 http://www.census.gov/prod/3/98pubs/smadb-97.pdf.</v>
      </c>
      <c r="B649" s="571"/>
      <c r="C649" s="571"/>
      <c r="D649" s="571"/>
      <c r="E649" s="571"/>
      <c r="F649" s="571"/>
      <c r="G649" s="571"/>
      <c r="H649" s="571"/>
    </row>
    <row r="650" spans="1:8" s="33" customFormat="1" ht="12.75">
      <c r="A650" s="617" t="str">
        <f>'Wksht 1. Data Inputs'!B193</f>
        <v>U.S. Census Bureau.  "State and County QuickFacts." (2000). 21 Dec 05 http://quickfacts.census.gov/qfd/. </v>
      </c>
      <c r="B650" s="571"/>
      <c r="C650" s="571"/>
      <c r="D650" s="571"/>
      <c r="E650" s="571"/>
      <c r="F650" s="571"/>
      <c r="G650" s="571"/>
      <c r="H650" s="571"/>
    </row>
    <row r="651" spans="1:8" s="8" customFormat="1" ht="13.5" customHeight="1">
      <c r="A651" s="217"/>
      <c r="C651" s="10"/>
      <c r="D651" s="1"/>
      <c r="E651" s="10"/>
      <c r="F651" s="10"/>
      <c r="G651" s="10"/>
      <c r="H651" s="10"/>
    </row>
    <row r="652" spans="1:8" s="8" customFormat="1" ht="18">
      <c r="A652" s="238" t="s">
        <v>24</v>
      </c>
      <c r="C652" s="10"/>
      <c r="D652" s="1"/>
      <c r="E652" s="10"/>
      <c r="F652" s="10"/>
      <c r="G652" s="10"/>
      <c r="H652" s="10"/>
    </row>
    <row r="653" spans="1:8" s="8" customFormat="1" ht="13.5" customHeight="1">
      <c r="A653" s="217"/>
      <c r="C653" s="10"/>
      <c r="D653" s="1"/>
      <c r="E653" s="10"/>
      <c r="F653" s="10"/>
      <c r="G653" s="10"/>
      <c r="H653" s="10"/>
    </row>
    <row r="654" spans="1:8" s="8" customFormat="1" ht="13.5" customHeight="1">
      <c r="A654" s="217"/>
      <c r="C654" s="10"/>
      <c r="D654" s="1"/>
      <c r="E654" s="10"/>
      <c r="F654" s="10"/>
      <c r="G654" s="10"/>
      <c r="H654" s="10"/>
    </row>
    <row r="655" spans="1:8" s="8" customFormat="1" ht="13.5" customHeight="1">
      <c r="A655" s="217"/>
      <c r="C655" s="10"/>
      <c r="D655" s="1"/>
      <c r="E655" s="10"/>
      <c r="F655" s="10"/>
      <c r="G655" s="10"/>
      <c r="H655" s="10"/>
    </row>
    <row r="656" spans="1:8" s="8" customFormat="1" ht="13.5" customHeight="1">
      <c r="A656" s="217"/>
      <c r="C656" s="10"/>
      <c r="D656" s="1"/>
      <c r="E656" s="10"/>
      <c r="F656" s="10"/>
      <c r="G656" s="10"/>
      <c r="H656" s="10"/>
    </row>
    <row r="657" spans="1:8" s="8" customFormat="1" ht="13.5" customHeight="1">
      <c r="A657" s="217"/>
      <c r="C657" s="10"/>
      <c r="D657" s="1"/>
      <c r="E657" s="10"/>
      <c r="F657" s="10"/>
      <c r="G657" s="10"/>
      <c r="H657" s="10"/>
    </row>
    <row r="658" spans="1:8" s="8" customFormat="1" ht="13.5" customHeight="1">
      <c r="A658" s="217"/>
      <c r="C658" s="10"/>
      <c r="D658" s="1"/>
      <c r="E658" s="10"/>
      <c r="F658" s="10"/>
      <c r="G658" s="10"/>
      <c r="H658" s="10"/>
    </row>
    <row r="659" spans="1:8" s="8" customFormat="1" ht="13.5" customHeight="1">
      <c r="A659" s="217"/>
      <c r="C659" s="10"/>
      <c r="D659" s="1"/>
      <c r="E659" s="10"/>
      <c r="F659" s="10"/>
      <c r="G659" s="10"/>
      <c r="H659" s="10"/>
    </row>
    <row r="660" spans="1:8" s="8" customFormat="1" ht="13.5" customHeight="1">
      <c r="A660" s="217"/>
      <c r="C660" s="10"/>
      <c r="D660" s="1"/>
      <c r="E660" s="10"/>
      <c r="F660" s="10"/>
      <c r="G660" s="10"/>
      <c r="H660" s="10"/>
    </row>
    <row r="661" spans="1:8" s="8" customFormat="1" ht="13.5" customHeight="1">
      <c r="A661" s="217"/>
      <c r="C661" s="10"/>
      <c r="D661" s="1"/>
      <c r="E661" s="10"/>
      <c r="F661" s="10"/>
      <c r="G661" s="10"/>
      <c r="H661" s="10"/>
    </row>
    <row r="662" spans="1:8" s="8" customFormat="1" ht="13.5" customHeight="1">
      <c r="A662" s="217"/>
      <c r="C662" s="10"/>
      <c r="D662" s="1"/>
      <c r="E662" s="10"/>
      <c r="F662" s="10"/>
      <c r="G662" s="10"/>
      <c r="H662" s="10"/>
    </row>
    <row r="663" spans="1:8" s="8" customFormat="1" ht="13.5" customHeight="1">
      <c r="A663" s="217"/>
      <c r="C663" s="10"/>
      <c r="D663" s="1"/>
      <c r="E663" s="10"/>
      <c r="F663" s="10"/>
      <c r="G663" s="10"/>
      <c r="H663" s="10"/>
    </row>
    <row r="664" spans="1:8" s="8" customFormat="1" ht="13.5" customHeight="1">
      <c r="A664" s="217"/>
      <c r="C664" s="10"/>
      <c r="D664" s="1"/>
      <c r="E664" s="10"/>
      <c r="F664" s="10"/>
      <c r="G664" s="10"/>
      <c r="H664" s="10"/>
    </row>
    <row r="665" spans="1:8" s="8" customFormat="1" ht="13.5" customHeight="1">
      <c r="A665" s="217"/>
      <c r="C665" s="10"/>
      <c r="D665" s="1"/>
      <c r="E665" s="10"/>
      <c r="F665" s="10"/>
      <c r="G665" s="10"/>
      <c r="H665" s="10"/>
    </row>
    <row r="666" spans="1:8" s="8" customFormat="1" ht="13.5" customHeight="1">
      <c r="A666" s="217"/>
      <c r="C666" s="10"/>
      <c r="D666" s="1"/>
      <c r="E666" s="10"/>
      <c r="F666" s="10"/>
      <c r="G666" s="10"/>
      <c r="H666" s="10"/>
    </row>
    <row r="667" spans="1:8" s="8" customFormat="1" ht="13.5" customHeight="1">
      <c r="A667" s="217"/>
      <c r="C667" s="10"/>
      <c r="D667" s="1"/>
      <c r="E667" s="10"/>
      <c r="F667" s="10"/>
      <c r="G667" s="10"/>
      <c r="H667" s="10"/>
    </row>
    <row r="668" spans="1:8" s="8" customFormat="1" ht="13.5" customHeight="1">
      <c r="A668" s="217"/>
      <c r="C668" s="10"/>
      <c r="D668" s="1"/>
      <c r="E668" s="10"/>
      <c r="F668" s="10"/>
      <c r="G668" s="10"/>
      <c r="H668" s="10"/>
    </row>
    <row r="669" spans="1:8" s="8" customFormat="1" ht="13.5" customHeight="1">
      <c r="A669" s="217"/>
      <c r="C669" s="10"/>
      <c r="D669" s="1"/>
      <c r="E669" s="10"/>
      <c r="F669" s="10"/>
      <c r="G669" s="10"/>
      <c r="H669" s="10"/>
    </row>
    <row r="670" spans="1:8" s="8" customFormat="1" ht="13.5" customHeight="1">
      <c r="A670" s="217"/>
      <c r="C670" s="10"/>
      <c r="D670" s="1"/>
      <c r="E670" s="10"/>
      <c r="F670" s="10"/>
      <c r="G670" s="10"/>
      <c r="H670" s="10"/>
    </row>
    <row r="671" spans="1:8" s="8" customFormat="1" ht="13.5" customHeight="1">
      <c r="A671" s="217"/>
      <c r="C671" s="10"/>
      <c r="D671" s="1"/>
      <c r="E671" s="10"/>
      <c r="F671" s="10"/>
      <c r="G671" s="10"/>
      <c r="H671" s="10"/>
    </row>
    <row r="672" spans="1:8" s="8" customFormat="1" ht="13.5" customHeight="1">
      <c r="A672" s="217"/>
      <c r="C672" s="10"/>
      <c r="D672" s="1"/>
      <c r="E672" s="10"/>
      <c r="F672" s="10"/>
      <c r="G672" s="10"/>
      <c r="H672" s="10"/>
    </row>
    <row r="673" spans="1:8" s="8" customFormat="1" ht="13.5" customHeight="1">
      <c r="A673" s="217"/>
      <c r="C673" s="10"/>
      <c r="D673" s="1"/>
      <c r="E673" s="10"/>
      <c r="F673" s="10"/>
      <c r="G673" s="10"/>
      <c r="H673" s="10"/>
    </row>
    <row r="674" spans="1:8" s="8" customFormat="1" ht="13.5" customHeight="1">
      <c r="A674" s="217"/>
      <c r="C674" s="10"/>
      <c r="D674" s="1"/>
      <c r="E674" s="10"/>
      <c r="F674" s="10"/>
      <c r="G674" s="10"/>
      <c r="H674" s="10"/>
    </row>
    <row r="675" spans="1:8" s="8" customFormat="1" ht="13.5" customHeight="1">
      <c r="A675" s="217"/>
      <c r="C675" s="10"/>
      <c r="D675" s="1"/>
      <c r="E675" s="10"/>
      <c r="F675" s="10"/>
      <c r="G675" s="10"/>
      <c r="H675" s="10"/>
    </row>
    <row r="676" spans="1:8" s="8" customFormat="1" ht="13.5" customHeight="1">
      <c r="A676" s="217"/>
      <c r="C676" s="10"/>
      <c r="D676" s="1"/>
      <c r="E676" s="10"/>
      <c r="F676" s="10"/>
      <c r="G676" s="10"/>
      <c r="H676" s="10"/>
    </row>
    <row r="677" spans="1:8" s="8" customFormat="1" ht="13.5" customHeight="1">
      <c r="A677" s="217"/>
      <c r="C677" s="10"/>
      <c r="D677" s="1"/>
      <c r="E677" s="10"/>
      <c r="F677" s="10"/>
      <c r="G677" s="10"/>
      <c r="H677" s="10"/>
    </row>
    <row r="678" spans="1:8" s="8" customFormat="1" ht="13.5" customHeight="1">
      <c r="A678" s="217"/>
      <c r="C678" s="10"/>
      <c r="D678" s="1"/>
      <c r="E678" s="10"/>
      <c r="F678" s="10"/>
      <c r="G678" s="10"/>
      <c r="H678" s="10"/>
    </row>
    <row r="679" spans="1:8" s="8" customFormat="1" ht="13.5" customHeight="1">
      <c r="A679" s="217"/>
      <c r="C679" s="10"/>
      <c r="D679" s="1"/>
      <c r="E679" s="10"/>
      <c r="F679" s="10"/>
      <c r="G679" s="10"/>
      <c r="H679" s="10"/>
    </row>
    <row r="680" spans="3:8" s="8" customFormat="1" ht="12.75">
      <c r="C680" s="10"/>
      <c r="E680" s="10"/>
      <c r="F680" s="10"/>
      <c r="G680" s="10"/>
      <c r="H680" s="10"/>
    </row>
    <row r="681" spans="1:8" s="8" customFormat="1" ht="12.75">
      <c r="A681" s="217"/>
      <c r="C681" s="10"/>
      <c r="E681" s="10"/>
      <c r="F681" s="10"/>
      <c r="G681" s="10"/>
      <c r="H681" s="10"/>
    </row>
    <row r="682" spans="1:8" s="8" customFormat="1" ht="12.75">
      <c r="A682" s="217"/>
      <c r="E682" s="10"/>
      <c r="F682" s="10"/>
      <c r="G682" s="10"/>
      <c r="H682" s="10"/>
    </row>
    <row r="683" spans="1:8" s="8" customFormat="1" ht="12.75">
      <c r="A683" s="217"/>
      <c r="E683" s="10"/>
      <c r="F683" s="10"/>
      <c r="G683" s="10"/>
      <c r="H683" s="10"/>
    </row>
    <row r="684" spans="1:8" s="8" customFormat="1" ht="12.75">
      <c r="A684" s="217"/>
      <c r="E684" s="10"/>
      <c r="F684" s="10"/>
      <c r="G684" s="10"/>
      <c r="H684" s="10"/>
    </row>
    <row r="685" spans="1:8" s="8" customFormat="1" ht="12.75">
      <c r="A685" s="217"/>
      <c r="E685" s="10"/>
      <c r="F685" s="10"/>
      <c r="G685" s="10"/>
      <c r="H685" s="10"/>
    </row>
    <row r="686" spans="1:8" s="8" customFormat="1" ht="12.75">
      <c r="A686" s="217"/>
      <c r="E686" s="10"/>
      <c r="F686" s="10"/>
      <c r="G686" s="10"/>
      <c r="H686" s="10"/>
    </row>
    <row r="687" spans="1:8" s="8" customFormat="1" ht="12.75">
      <c r="A687" s="217"/>
      <c r="E687" s="10"/>
      <c r="F687" s="10"/>
      <c r="G687" s="10"/>
      <c r="H687" s="10"/>
    </row>
    <row r="688" spans="1:8" s="8" customFormat="1" ht="12.75">
      <c r="A688" s="217"/>
      <c r="E688" s="10"/>
      <c r="F688" s="10"/>
      <c r="G688" s="10"/>
      <c r="H688" s="10"/>
    </row>
    <row r="689" spans="1:8" s="8" customFormat="1" ht="12.75">
      <c r="A689" s="217"/>
      <c r="E689" s="10"/>
      <c r="F689" s="10"/>
      <c r="G689" s="10"/>
      <c r="H689" s="10"/>
    </row>
    <row r="690" spans="1:8" s="8" customFormat="1" ht="12.75">
      <c r="A690" s="217"/>
      <c r="E690" s="10"/>
      <c r="F690" s="10"/>
      <c r="G690" s="10"/>
      <c r="H690" s="10"/>
    </row>
    <row r="691" spans="1:8" s="8" customFormat="1" ht="12.75">
      <c r="A691" s="217"/>
      <c r="E691" s="10"/>
      <c r="F691" s="10"/>
      <c r="G691" s="10"/>
      <c r="H691" s="10"/>
    </row>
    <row r="692" spans="1:8" s="8" customFormat="1" ht="12.75">
      <c r="A692" s="217"/>
      <c r="E692" s="10"/>
      <c r="F692" s="10"/>
      <c r="G692" s="10"/>
      <c r="H692" s="10"/>
    </row>
    <row r="693" spans="1:8" s="8" customFormat="1" ht="12.75">
      <c r="A693" s="217"/>
      <c r="E693" s="10"/>
      <c r="F693" s="10"/>
      <c r="G693" s="10"/>
      <c r="H693" s="10"/>
    </row>
    <row r="694" spans="1:8" s="8" customFormat="1" ht="12.75">
      <c r="A694" s="217"/>
      <c r="E694" s="10"/>
      <c r="F694" s="10"/>
      <c r="G694" s="10"/>
      <c r="H694" s="10"/>
    </row>
    <row r="695" spans="1:8" s="8" customFormat="1" ht="12.75">
      <c r="A695" s="217"/>
      <c r="E695" s="10"/>
      <c r="F695" s="10"/>
      <c r="G695" s="10"/>
      <c r="H695" s="10"/>
    </row>
    <row r="696" spans="1:8" s="8" customFormat="1" ht="12.75">
      <c r="A696" s="217"/>
      <c r="E696" s="10"/>
      <c r="F696" s="10"/>
      <c r="G696" s="10"/>
      <c r="H696" s="10"/>
    </row>
    <row r="697" spans="1:8" s="8" customFormat="1" ht="12.75">
      <c r="A697" s="217"/>
      <c r="E697" s="10"/>
      <c r="F697" s="10"/>
      <c r="G697" s="10"/>
      <c r="H697" s="10"/>
    </row>
    <row r="698" spans="1:8" s="8" customFormat="1" ht="12.75">
      <c r="A698" s="217"/>
      <c r="E698" s="10"/>
      <c r="F698" s="10"/>
      <c r="G698" s="10"/>
      <c r="H698" s="10"/>
    </row>
    <row r="699" spans="1:8" s="8" customFormat="1" ht="12.75">
      <c r="A699" s="217"/>
      <c r="E699" s="10"/>
      <c r="F699" s="10"/>
      <c r="G699" s="10"/>
      <c r="H699" s="10"/>
    </row>
    <row r="700" spans="1:8" s="8" customFormat="1" ht="12.75">
      <c r="A700" s="217"/>
      <c r="E700" s="10"/>
      <c r="F700" s="10"/>
      <c r="G700" s="10"/>
      <c r="H700" s="10"/>
    </row>
    <row r="701" spans="1:8" s="8" customFormat="1" ht="12.75">
      <c r="A701" s="217"/>
      <c r="E701" s="10"/>
      <c r="F701" s="10"/>
      <c r="G701" s="10"/>
      <c r="H701" s="10"/>
    </row>
    <row r="702" spans="1:8" s="8" customFormat="1" ht="12.75">
      <c r="A702" s="217"/>
      <c r="E702" s="10"/>
      <c r="F702" s="10"/>
      <c r="G702" s="10"/>
      <c r="H702" s="10"/>
    </row>
    <row r="703" spans="1:8" s="8" customFormat="1" ht="12.75">
      <c r="A703" s="217"/>
      <c r="E703" s="10"/>
      <c r="F703" s="10"/>
      <c r="G703" s="10"/>
      <c r="H703" s="10"/>
    </row>
    <row r="704" spans="1:8" s="8" customFormat="1" ht="12.75">
      <c r="A704" s="217"/>
      <c r="E704" s="10"/>
      <c r="F704" s="10"/>
      <c r="G704" s="10"/>
      <c r="H704" s="10"/>
    </row>
    <row r="705" spans="1:8" s="8" customFormat="1" ht="18">
      <c r="A705" s="16" t="s">
        <v>484</v>
      </c>
      <c r="B705" s="10"/>
      <c r="C705" s="10"/>
      <c r="D705" s="10"/>
      <c r="E705" s="6"/>
      <c r="F705" s="1"/>
      <c r="G705" s="10"/>
      <c r="H705" s="6"/>
    </row>
    <row r="706" spans="1:8" s="8" customFormat="1" ht="12.75">
      <c r="A706" s="540" t="s">
        <v>51</v>
      </c>
      <c r="B706" s="10"/>
      <c r="C706" s="10"/>
      <c r="D706" s="10"/>
      <c r="E706" s="6"/>
      <c r="F706" s="1"/>
      <c r="G706" s="10"/>
      <c r="H706" s="6"/>
    </row>
    <row r="707" spans="1:8" s="8" customFormat="1" ht="13.5" thickBot="1">
      <c r="A707" s="217"/>
      <c r="B707" s="10"/>
      <c r="C707" s="12"/>
      <c r="D707" s="12"/>
      <c r="E707" s="13"/>
      <c r="F707" s="13"/>
      <c r="G707" s="10"/>
      <c r="H707" s="6"/>
    </row>
    <row r="708" spans="1:8" s="8" customFormat="1" ht="51.75" customHeight="1">
      <c r="A708" s="227"/>
      <c r="B708" s="53" t="s">
        <v>435</v>
      </c>
      <c r="C708" s="546" t="s">
        <v>245</v>
      </c>
      <c r="D708" s="546" t="s">
        <v>201</v>
      </c>
      <c r="E708" s="610" t="s">
        <v>82</v>
      </c>
      <c r="F708" s="23"/>
      <c r="G708" s="23"/>
      <c r="H708" s="26"/>
    </row>
    <row r="709" spans="1:8" s="8" customFormat="1" ht="12.75">
      <c r="A709" s="228" t="s">
        <v>430</v>
      </c>
      <c r="B709" s="54" t="str">
        <f>'Wksht 1. Data Inputs'!B15</f>
        <v>potential 2003 waste comp</v>
      </c>
      <c r="C709" s="609"/>
      <c r="D709" s="609"/>
      <c r="E709" s="611"/>
      <c r="F709" s="23"/>
      <c r="G709" s="23"/>
      <c r="H709" s="26"/>
    </row>
    <row r="710" spans="1:8" s="8" customFormat="1" ht="13.5" customHeight="1">
      <c r="A710" s="221" t="s">
        <v>373</v>
      </c>
      <c r="B710" s="42">
        <f aca="true" t="shared" si="21" ref="B710:B721">B15</f>
        <v>48844</v>
      </c>
      <c r="C710" s="42">
        <f>B710*'Wksht 3. Conversion Factors'!C12</f>
        <v>-180763.33774298092</v>
      </c>
      <c r="D710" s="42" t="e">
        <f>B710*('Wksht 4. Calculations'!$B$15*'Wksht 3. Conversion Factors'!E12+'Wksht 4. Calculations'!$B$16*'Wksht 3. Conversion Factors'!F12)</f>
        <v>#DIV/0!</v>
      </c>
      <c r="E710" s="44" t="e">
        <f>C710-D710</f>
        <v>#DIV/0!</v>
      </c>
      <c r="F710" s="23"/>
      <c r="G710" s="26"/>
      <c r="H710" s="26"/>
    </row>
    <row r="711" spans="1:8" s="8" customFormat="1" ht="13.5" customHeight="1">
      <c r="A711" s="221" t="s">
        <v>374</v>
      </c>
      <c r="B711" s="42">
        <f t="shared" si="21"/>
        <v>102532</v>
      </c>
      <c r="C711" s="42">
        <f>B711*'Wksht 3. Conversion Factors'!C13</f>
        <v>-50166.11494503138</v>
      </c>
      <c r="D711" s="42" t="e">
        <f>B711*('Wksht 4. Calculations'!$B$15*'Wksht 3. Conversion Factors'!E13+'Wksht 4. Calculations'!$B$16*'Wksht 3. Conversion Factors'!F13)</f>
        <v>#DIV/0!</v>
      </c>
      <c r="E711" s="44" t="e">
        <f aca="true" t="shared" si="22" ref="E711:E721">C711-D711</f>
        <v>#DIV/0!</v>
      </c>
      <c r="F711" s="23"/>
      <c r="G711" s="26"/>
      <c r="H711" s="26"/>
    </row>
    <row r="712" spans="1:8" s="8" customFormat="1" ht="12.75">
      <c r="A712" s="221" t="s">
        <v>375</v>
      </c>
      <c r="B712" s="42">
        <f t="shared" si="21"/>
        <v>234629</v>
      </c>
      <c r="C712" s="42">
        <f>B712*'Wksht 3. Conversion Factors'!C17</f>
        <v>-17780.2347680106</v>
      </c>
      <c r="D712" s="42" t="e">
        <f>B712*('Wksht 4. Calculations'!$B$15*'Wksht 3. Conversion Factors'!E17+'Wksht 4. Calculations'!$B$16*'Wksht 3. Conversion Factors'!F17)</f>
        <v>#DIV/0!</v>
      </c>
      <c r="E712" s="44" t="e">
        <f t="shared" si="22"/>
        <v>#DIV/0!</v>
      </c>
      <c r="F712" s="23"/>
      <c r="G712" s="26"/>
      <c r="H712" s="26"/>
    </row>
    <row r="713" spans="1:8" s="8" customFormat="1" ht="12.75">
      <c r="A713" s="221" t="s">
        <v>376</v>
      </c>
      <c r="B713" s="42">
        <f t="shared" si="21"/>
        <v>68082</v>
      </c>
      <c r="C713" s="42">
        <f>B713*'Wksht 3. Conversion Factors'!C18</f>
        <v>-25847.509108280137</v>
      </c>
      <c r="D713" s="42" t="e">
        <f>B713*('Wksht 4. Calculations'!$B$15*'Wksht 3. Conversion Factors'!E18+'Wksht 4. Calculations'!$B$16*'Wksht 3. Conversion Factors'!F18)</f>
        <v>#DIV/0!</v>
      </c>
      <c r="E713" s="44" t="e">
        <f t="shared" si="22"/>
        <v>#DIV/0!</v>
      </c>
      <c r="F713" s="23"/>
      <c r="G713" s="26"/>
      <c r="H713" s="26"/>
    </row>
    <row r="714" spans="1:8" s="8" customFormat="1" ht="12.75">
      <c r="A714" s="221" t="s">
        <v>377</v>
      </c>
      <c r="B714" s="42">
        <f t="shared" si="21"/>
        <v>0</v>
      </c>
      <c r="C714" s="42">
        <f>B714*'Wksht 3. Conversion Factors'!C19</f>
        <v>0</v>
      </c>
      <c r="D714" s="42" t="e">
        <f>B714*('Wksht 4. Calculations'!$B$15*'Wksht 3. Conversion Factors'!E19+'Wksht 4. Calculations'!$B$16*'Wksht 3. Conversion Factors'!F19)</f>
        <v>#DIV/0!</v>
      </c>
      <c r="E714" s="44" t="e">
        <f t="shared" si="22"/>
        <v>#DIV/0!</v>
      </c>
      <c r="F714" s="23"/>
      <c r="G714" s="26"/>
      <c r="H714" s="26"/>
    </row>
    <row r="715" spans="1:8" s="8" customFormat="1" ht="12.75">
      <c r="A715" s="221" t="s">
        <v>378</v>
      </c>
      <c r="B715" s="42">
        <f t="shared" si="21"/>
        <v>87601</v>
      </c>
      <c r="C715" s="42">
        <f>B715*'Wksht 3. Conversion Factors'!C20</f>
        <v>-36743.093593781894</v>
      </c>
      <c r="D715" s="42" t="e">
        <f>B715*('Wksht 4. Calculations'!$B$15*'Wksht 3. Conversion Factors'!E20+'Wksht 4. Calculations'!$B$16*'Wksht 3. Conversion Factors'!F20)</f>
        <v>#DIV/0!</v>
      </c>
      <c r="E715" s="44" t="e">
        <f t="shared" si="22"/>
        <v>#DIV/0!</v>
      </c>
      <c r="F715" s="23"/>
      <c r="G715" s="26"/>
      <c r="H715" s="26"/>
    </row>
    <row r="716" spans="1:8" s="8" customFormat="1" ht="12.75">
      <c r="A716" s="221" t="s">
        <v>372</v>
      </c>
      <c r="B716" s="42">
        <f t="shared" si="21"/>
        <v>785032</v>
      </c>
      <c r="C716" s="42">
        <f>B716*'Wksht 3. Conversion Factors'!C21</f>
        <v>-666121.4788107349</v>
      </c>
      <c r="D716" s="42" t="e">
        <f>B716*('Wksht 4. Calculations'!$B$15*'Wksht 3. Conversion Factors'!E21+'Wksht 4. Calculations'!$B$16*'Wksht 3. Conversion Factors'!F21)</f>
        <v>#DIV/0!</v>
      </c>
      <c r="E716" s="44" t="e">
        <f t="shared" si="22"/>
        <v>#DIV/0!</v>
      </c>
      <c r="F716" s="23"/>
      <c r="G716" s="26"/>
      <c r="H716" s="26"/>
    </row>
    <row r="717" spans="1:8" s="8" customFormat="1" ht="12.75">
      <c r="A717" s="221" t="s">
        <v>476</v>
      </c>
      <c r="B717" s="42">
        <f t="shared" si="21"/>
        <v>251027</v>
      </c>
      <c r="C717" s="42">
        <f>B717*'Wksht 3. Conversion Factors'!C22</f>
        <v>-210208.23160398725</v>
      </c>
      <c r="D717" s="42" t="e">
        <f>B717*('Wksht 4. Calculations'!$B$15*'Wksht 3. Conversion Factors'!E22+'Wksht 4. Calculations'!$B$16*'Wksht 3. Conversion Factors'!F22)</f>
        <v>#DIV/0!</v>
      </c>
      <c r="E717" s="44" t="e">
        <f t="shared" si="22"/>
        <v>#DIV/0!</v>
      </c>
      <c r="F717" s="23"/>
      <c r="G717" s="26"/>
      <c r="H717" s="26"/>
    </row>
    <row r="718" spans="1:8" s="8" customFormat="1" ht="12.75">
      <c r="A718" s="221" t="s">
        <v>370</v>
      </c>
      <c r="B718" s="42">
        <f t="shared" si="21"/>
        <v>389263</v>
      </c>
      <c r="C718" s="42">
        <f>B718*'Wksht 3. Conversion Factors'!C23</f>
        <v>-296357.1655735557</v>
      </c>
      <c r="D718" s="42" t="e">
        <f>B718*('Wksht 4. Calculations'!$B$15*'Wksht 3. Conversion Factors'!E23+'Wksht 4. Calculations'!$B$16*'Wksht 3. Conversion Factors'!F23)</f>
        <v>#DIV/0!</v>
      </c>
      <c r="E718" s="44" t="e">
        <f t="shared" si="22"/>
        <v>#DIV/0!</v>
      </c>
      <c r="F718" s="23"/>
      <c r="G718" s="26"/>
      <c r="H718" s="26"/>
    </row>
    <row r="719" spans="1:8" s="8" customFormat="1" ht="12.75">
      <c r="A719" s="221" t="s">
        <v>371</v>
      </c>
      <c r="B719" s="42">
        <f t="shared" si="21"/>
        <v>341975</v>
      </c>
      <c r="C719" s="42">
        <f>B719*'Wksht 3. Conversion Factors'!C24</f>
        <v>-266029.27800457587</v>
      </c>
      <c r="D719" s="42" t="e">
        <f>B719*('Wksht 4. Calculations'!$B$15*'Wksht 3. Conversion Factors'!E24+'Wksht 4. Calculations'!$B$16*'Wksht 3. Conversion Factors'!F24)</f>
        <v>#DIV/0!</v>
      </c>
      <c r="E719" s="44" t="e">
        <f t="shared" si="22"/>
        <v>#DIV/0!</v>
      </c>
      <c r="F719" s="23"/>
      <c r="G719" s="26"/>
      <c r="H719" s="26"/>
    </row>
    <row r="720" spans="1:8" s="8" customFormat="1" ht="12.75">
      <c r="A720" s="221" t="s">
        <v>477</v>
      </c>
      <c r="B720" s="42">
        <f t="shared" si="21"/>
        <v>0</v>
      </c>
      <c r="C720" s="42">
        <f>B720*'Wksht 3. Conversion Factors'!C25</f>
        <v>0</v>
      </c>
      <c r="D720" s="42" t="e">
        <f>B720*('Wksht 4. Calculations'!$B$15*'Wksht 3. Conversion Factors'!E25+'Wksht 4. Calculations'!$B$16*'Wksht 3. Conversion Factors'!F25)</f>
        <v>#DIV/0!</v>
      </c>
      <c r="E720" s="44" t="e">
        <f t="shared" si="22"/>
        <v>#DIV/0!</v>
      </c>
      <c r="F720" s="23"/>
      <c r="G720" s="26"/>
      <c r="H720" s="26"/>
    </row>
    <row r="721" spans="1:8" s="8" customFormat="1" ht="12.75">
      <c r="A721" s="221" t="s">
        <v>478</v>
      </c>
      <c r="B721" s="42">
        <f t="shared" si="21"/>
        <v>0</v>
      </c>
      <c r="C721" s="42">
        <f>B721*'Wksht 3. Conversion Factors'!C26</f>
        <v>0</v>
      </c>
      <c r="D721" s="42" t="e">
        <f>B721*('Wksht 4. Calculations'!$B$15*'Wksht 3. Conversion Factors'!E26+'Wksht 4. Calculations'!$B$16*'Wksht 3. Conversion Factors'!F26)</f>
        <v>#DIV/0!</v>
      </c>
      <c r="E721" s="44" t="e">
        <f t="shared" si="22"/>
        <v>#DIV/0!</v>
      </c>
      <c r="F721" s="23"/>
      <c r="G721" s="26"/>
      <c r="H721" s="26"/>
    </row>
    <row r="722" spans="1:8" s="8" customFormat="1" ht="12.75">
      <c r="A722" s="221" t="s">
        <v>85</v>
      </c>
      <c r="B722" s="42">
        <f>B44</f>
        <v>433821</v>
      </c>
      <c r="C722" s="42">
        <f>B722*'Wksht 3. Conversion Factors'!C34</f>
        <v>-418472.6444471452</v>
      </c>
      <c r="D722" s="42" t="e">
        <f>B722*('Wksht 4. Calculations'!$B$15*'Wksht 3. Conversion Factors'!E34+'Wksht 4. Calculations'!$B$16*'Wksht 3. Conversion Factors'!F34)</f>
        <v>#DIV/0!</v>
      </c>
      <c r="E722" s="44" t="e">
        <f>C722-D722</f>
        <v>#DIV/0!</v>
      </c>
      <c r="F722" s="23"/>
      <c r="G722" s="26"/>
      <c r="H722" s="26"/>
    </row>
    <row r="723" spans="1:8" s="8" customFormat="1" ht="12.75">
      <c r="A723" s="221" t="s">
        <v>480</v>
      </c>
      <c r="B723" s="42">
        <f>B46</f>
        <v>906653</v>
      </c>
      <c r="C723" s="42">
        <f>B723*'Wksht 3. Conversion Factors'!C38</f>
        <v>-369456.6077144982</v>
      </c>
      <c r="D723" s="42" t="e">
        <f>B723*('Wksht 4. Calculations'!$B$15*'Wksht 3. Conversion Factors'!E38+'Wksht 4. Calculations'!$B$16*'Wksht 3. Conversion Factors'!F38)</f>
        <v>#DIV/0!</v>
      </c>
      <c r="E723" s="44" t="e">
        <f>C723-D723</f>
        <v>#DIV/0!</v>
      </c>
      <c r="F723" s="23"/>
      <c r="G723" s="26"/>
      <c r="H723" s="26"/>
    </row>
    <row r="724" spans="1:8" s="8" customFormat="1" ht="12.75">
      <c r="A724" s="221" t="s">
        <v>389</v>
      </c>
      <c r="B724" s="42">
        <f>B47</f>
        <v>0</v>
      </c>
      <c r="C724" s="42">
        <f>B724*'Wksht 3. Conversion Factors'!C39</f>
        <v>0</v>
      </c>
      <c r="D724" s="42" t="e">
        <f>B724*('Wksht 4. Calculations'!$B$15*'Wksht 3. Conversion Factors'!E39+'Wksht 4. Calculations'!$B$16*'Wksht 3. Conversion Factors'!F39)</f>
        <v>#DIV/0!</v>
      </c>
      <c r="E724" s="44" t="e">
        <f>C724-D724</f>
        <v>#DIV/0!</v>
      </c>
      <c r="F724" s="23"/>
      <c r="G724" s="26"/>
      <c r="H724" s="26"/>
    </row>
    <row r="725" spans="1:8" s="8" customFormat="1" ht="13.5" thickBot="1">
      <c r="A725" s="229" t="s">
        <v>398</v>
      </c>
      <c r="B725" s="48">
        <f>SUM(B710:B724)</f>
        <v>3649459</v>
      </c>
      <c r="C725" s="48">
        <f>SUM(C710:C724)</f>
        <v>-2537945.696312582</v>
      </c>
      <c r="D725" s="48" t="e">
        <f>SUM(D710:D724)</f>
        <v>#DIV/0!</v>
      </c>
      <c r="E725" s="45" t="e">
        <f>C725-D725</f>
        <v>#DIV/0!</v>
      </c>
      <c r="F725" s="23"/>
      <c r="G725" s="30"/>
      <c r="H725" s="30"/>
    </row>
    <row r="726" spans="1:8" s="8" customFormat="1" ht="12.75">
      <c r="A726" s="224"/>
      <c r="B726" s="26"/>
      <c r="C726" s="26"/>
      <c r="D726" s="33"/>
      <c r="E726" s="30"/>
      <c r="F726" s="27"/>
      <c r="G726" s="27"/>
      <c r="H726" s="27"/>
    </row>
    <row r="727" spans="1:8" s="8" customFormat="1" ht="12.75">
      <c r="A727" s="224" t="s">
        <v>438</v>
      </c>
      <c r="B727" s="26"/>
      <c r="C727" s="26"/>
      <c r="D727" s="33"/>
      <c r="E727" s="30"/>
      <c r="F727" s="27"/>
      <c r="G727" s="27"/>
      <c r="H727" s="27"/>
    </row>
    <row r="728" spans="1:8" s="8" customFormat="1" ht="12.75">
      <c r="A728" s="107" t="str">
        <f>'Wksht 1. Data Inputs'!B14</f>
        <v>PA Department of Environmental Protection</v>
      </c>
      <c r="C728" s="33"/>
      <c r="D728" s="33"/>
      <c r="E728" s="30"/>
      <c r="F728" s="27"/>
      <c r="G728" s="27"/>
      <c r="H728" s="27"/>
    </row>
    <row r="729" spans="1:9" s="8" customFormat="1" ht="14.25" customHeight="1">
      <c r="A729" s="603" t="str">
        <f>'Wksht 3. Conversion Factors'!B48</f>
        <v>U.S. EPA. "Solid Waste Management and Greenhouse Gases: A Life-Cycle Assessment of Emissions and Sinks. 2nd edition." EPA 530-R-02-006. 11 Nov 2005 http://www.epa.gov/epaoswer/non-hw/muncpl/ghg/ghg.htm. </v>
      </c>
      <c r="B729" s="571"/>
      <c r="C729" s="571"/>
      <c r="D729" s="571"/>
      <c r="E729" s="571"/>
      <c r="F729" s="571"/>
      <c r="G729" s="571"/>
      <c r="H729" s="571"/>
      <c r="I729" s="571"/>
    </row>
    <row r="730" spans="1:8" s="8" customFormat="1" ht="12.75">
      <c r="A730" s="612" t="str">
        <f>'Wksht 3. Conversion Factors'!B47</f>
        <v>U.S. EPA. "WARM Online, Version 8." (June 2006). 26 June 06 http://yosemite.epa.gov/oar/globalwarming.nsf/WARM.</v>
      </c>
      <c r="B730" s="571"/>
      <c r="C730" s="571"/>
      <c r="D730" s="571"/>
      <c r="E730" s="571"/>
      <c r="F730" s="571"/>
      <c r="G730" s="571"/>
      <c r="H730" s="571"/>
    </row>
    <row r="731" spans="1:9" s="8" customFormat="1" ht="18.75" customHeight="1">
      <c r="A731" s="636" t="s">
        <v>27</v>
      </c>
      <c r="B731" s="571"/>
      <c r="C731" s="571"/>
      <c r="D731" s="571"/>
      <c r="E731" s="571"/>
      <c r="F731" s="571"/>
      <c r="G731" s="571"/>
      <c r="H731" s="571"/>
      <c r="I731" s="571"/>
    </row>
    <row r="732" spans="1:8" s="8" customFormat="1" ht="12.75">
      <c r="A732" s="126"/>
      <c r="B732" s="11"/>
      <c r="C732" s="11"/>
      <c r="D732" s="11"/>
      <c r="E732" s="11"/>
      <c r="F732" s="11"/>
      <c r="G732" s="11"/>
      <c r="H732" s="11"/>
    </row>
    <row r="733" spans="1:8" s="8" customFormat="1" ht="12.75">
      <c r="A733" s="126"/>
      <c r="B733" s="11"/>
      <c r="C733" s="11"/>
      <c r="D733" s="11"/>
      <c r="E733" s="11"/>
      <c r="F733" s="11"/>
      <c r="G733" s="11"/>
      <c r="H733" s="11"/>
    </row>
    <row r="734" spans="1:8" s="8" customFormat="1" ht="12.75">
      <c r="A734" s="126"/>
      <c r="B734" s="11"/>
      <c r="C734" s="11"/>
      <c r="D734" s="11"/>
      <c r="E734" s="11"/>
      <c r="F734" s="11"/>
      <c r="G734" s="11"/>
      <c r="H734" s="11"/>
    </row>
    <row r="735" spans="1:8" s="8" customFormat="1" ht="12.75">
      <c r="A735" s="126"/>
      <c r="B735" s="11"/>
      <c r="C735" s="11"/>
      <c r="D735" s="11"/>
      <c r="E735" s="11"/>
      <c r="F735" s="11"/>
      <c r="G735" s="11"/>
      <c r="H735" s="11"/>
    </row>
    <row r="736" spans="1:8" s="8" customFormat="1" ht="12.75">
      <c r="A736" s="126"/>
      <c r="B736" s="11"/>
      <c r="C736" s="11"/>
      <c r="D736" s="11"/>
      <c r="E736" s="11"/>
      <c r="F736" s="11"/>
      <c r="G736" s="11"/>
      <c r="H736" s="11"/>
    </row>
    <row r="737" spans="1:8" s="8" customFormat="1" ht="12.75">
      <c r="A737" s="126"/>
      <c r="B737" s="11"/>
      <c r="C737" s="11"/>
      <c r="D737" s="11"/>
      <c r="E737" s="11"/>
      <c r="F737" s="11"/>
      <c r="G737" s="11"/>
      <c r="H737" s="11"/>
    </row>
    <row r="738" spans="1:8" s="8" customFormat="1" ht="12.75">
      <c r="A738" s="126"/>
      <c r="B738" s="11"/>
      <c r="C738" s="11"/>
      <c r="D738" s="11"/>
      <c r="E738" s="11"/>
      <c r="F738" s="11"/>
      <c r="G738" s="11"/>
      <c r="H738" s="11"/>
    </row>
    <row r="739" spans="1:8" s="8" customFormat="1" ht="12.75">
      <c r="A739" s="126"/>
      <c r="B739" s="11"/>
      <c r="C739" s="11"/>
      <c r="D739" s="11"/>
      <c r="E739" s="11"/>
      <c r="F739" s="11"/>
      <c r="G739" s="11"/>
      <c r="H739" s="11"/>
    </row>
    <row r="740" spans="1:8" s="8" customFormat="1" ht="12.75">
      <c r="A740" s="126"/>
      <c r="B740" s="11"/>
      <c r="C740" s="11"/>
      <c r="D740" s="11"/>
      <c r="E740" s="11"/>
      <c r="F740" s="11"/>
      <c r="G740" s="11"/>
      <c r="H740" s="11"/>
    </row>
    <row r="741" spans="1:8" s="8" customFormat="1" ht="12.75">
      <c r="A741" s="126"/>
      <c r="B741" s="11"/>
      <c r="C741" s="11"/>
      <c r="D741" s="11"/>
      <c r="E741" s="11"/>
      <c r="F741" s="11"/>
      <c r="G741" s="11"/>
      <c r="H741" s="11"/>
    </row>
    <row r="742" spans="1:8" s="8" customFormat="1" ht="12.75">
      <c r="A742" s="126"/>
      <c r="B742" s="11"/>
      <c r="C742" s="11"/>
      <c r="D742" s="11"/>
      <c r="E742" s="11"/>
      <c r="F742" s="11"/>
      <c r="G742" s="11"/>
      <c r="H742" s="11"/>
    </row>
    <row r="743" spans="1:8" s="8" customFormat="1" ht="12.75">
      <c r="A743" s="126"/>
      <c r="B743" s="11"/>
      <c r="C743" s="11"/>
      <c r="D743" s="11"/>
      <c r="E743" s="11"/>
      <c r="F743" s="11"/>
      <c r="G743" s="11"/>
      <c r="H743" s="11"/>
    </row>
    <row r="744" spans="1:8" s="8" customFormat="1" ht="12.75">
      <c r="A744" s="126"/>
      <c r="B744" s="11"/>
      <c r="C744" s="11"/>
      <c r="D744" s="11"/>
      <c r="E744" s="11"/>
      <c r="F744" s="11"/>
      <c r="G744" s="11"/>
      <c r="H744" s="11"/>
    </row>
    <row r="745" spans="1:8" s="8" customFormat="1" ht="12.75">
      <c r="A745" s="126"/>
      <c r="B745" s="11"/>
      <c r="C745" s="11"/>
      <c r="D745" s="11"/>
      <c r="E745" s="11"/>
      <c r="F745" s="11"/>
      <c r="G745" s="11"/>
      <c r="H745" s="11"/>
    </row>
    <row r="746" spans="1:8" s="8" customFormat="1" ht="12.75">
      <c r="A746" s="126"/>
      <c r="B746" s="11"/>
      <c r="C746" s="11"/>
      <c r="D746" s="11"/>
      <c r="E746" s="11"/>
      <c r="F746" s="11"/>
      <c r="G746" s="11"/>
      <c r="H746" s="11"/>
    </row>
    <row r="747" spans="1:8" s="8" customFormat="1" ht="12.75">
      <c r="A747" s="126"/>
      <c r="B747" s="11"/>
      <c r="C747" s="11"/>
      <c r="D747" s="11"/>
      <c r="E747" s="11"/>
      <c r="F747" s="11"/>
      <c r="G747" s="11"/>
      <c r="H747" s="11"/>
    </row>
    <row r="748" spans="1:8" s="8" customFormat="1" ht="12.75">
      <c r="A748" s="126"/>
      <c r="B748" s="11"/>
      <c r="C748" s="11"/>
      <c r="D748" s="11"/>
      <c r="E748" s="11"/>
      <c r="F748" s="11"/>
      <c r="G748" s="11"/>
      <c r="H748" s="11"/>
    </row>
    <row r="749" spans="1:8" s="8" customFormat="1" ht="12.75">
      <c r="A749" s="126"/>
      <c r="B749" s="11"/>
      <c r="C749" s="11"/>
      <c r="D749" s="11"/>
      <c r="E749" s="11"/>
      <c r="F749" s="11"/>
      <c r="G749" s="11"/>
      <c r="H749" s="11"/>
    </row>
    <row r="750" spans="1:8" s="8" customFormat="1" ht="12.75">
      <c r="A750" s="126"/>
      <c r="B750" s="11"/>
      <c r="C750" s="11"/>
      <c r="D750" s="11"/>
      <c r="E750" s="11"/>
      <c r="F750" s="11"/>
      <c r="G750" s="11"/>
      <c r="H750" s="11"/>
    </row>
    <row r="751" spans="1:8" s="8" customFormat="1" ht="12.75">
      <c r="A751" s="126"/>
      <c r="B751" s="11"/>
      <c r="C751" s="11"/>
      <c r="D751" s="11"/>
      <c r="E751" s="11"/>
      <c r="F751" s="11"/>
      <c r="G751" s="11"/>
      <c r="H751" s="11"/>
    </row>
    <row r="752" spans="1:8" s="8" customFormat="1" ht="12.75">
      <c r="A752" s="126"/>
      <c r="B752" s="11"/>
      <c r="C752" s="11"/>
      <c r="D752" s="11"/>
      <c r="E752" s="11"/>
      <c r="F752" s="11"/>
      <c r="G752" s="11"/>
      <c r="H752" s="11"/>
    </row>
    <row r="753" spans="1:8" s="8" customFormat="1" ht="12.75">
      <c r="A753" s="126"/>
      <c r="B753" s="11"/>
      <c r="C753" s="11"/>
      <c r="D753" s="11"/>
      <c r="E753" s="11"/>
      <c r="F753" s="11"/>
      <c r="G753" s="11"/>
      <c r="H753" s="11"/>
    </row>
    <row r="754" spans="1:8" s="8" customFormat="1" ht="12.75">
      <c r="A754" s="126"/>
      <c r="B754" s="11"/>
      <c r="C754" s="11"/>
      <c r="D754" s="11"/>
      <c r="E754" s="11"/>
      <c r="F754" s="11"/>
      <c r="G754" s="11"/>
      <c r="H754" s="11"/>
    </row>
    <row r="755" spans="1:8" s="8" customFormat="1" ht="12.75">
      <c r="A755" s="126"/>
      <c r="B755" s="11"/>
      <c r="C755" s="11"/>
      <c r="D755" s="11"/>
      <c r="E755" s="11"/>
      <c r="F755" s="11"/>
      <c r="G755" s="11"/>
      <c r="H755" s="11"/>
    </row>
    <row r="756" spans="1:8" s="8" customFormat="1" ht="12.75">
      <c r="A756" s="126"/>
      <c r="B756" s="11"/>
      <c r="C756" s="11"/>
      <c r="D756" s="11"/>
      <c r="E756" s="11"/>
      <c r="F756" s="11"/>
      <c r="G756" s="11"/>
      <c r="H756" s="11"/>
    </row>
    <row r="757" spans="1:8" s="8" customFormat="1" ht="12.75">
      <c r="A757" s="126"/>
      <c r="B757" s="11"/>
      <c r="C757" s="11"/>
      <c r="D757" s="11"/>
      <c r="E757" s="11"/>
      <c r="F757" s="11"/>
      <c r="G757" s="11"/>
      <c r="H757" s="11"/>
    </row>
    <row r="758" spans="1:8" s="8" customFormat="1" ht="12.75">
      <c r="A758" s="126"/>
      <c r="B758" s="11"/>
      <c r="C758" s="11"/>
      <c r="D758" s="11"/>
      <c r="E758" s="11"/>
      <c r="F758" s="11"/>
      <c r="G758" s="11"/>
      <c r="H758" s="11"/>
    </row>
    <row r="759" spans="1:8" s="8" customFormat="1" ht="12.75">
      <c r="A759" s="126"/>
      <c r="B759" s="11"/>
      <c r="C759" s="11"/>
      <c r="D759" s="11"/>
      <c r="E759" s="11"/>
      <c r="F759" s="11"/>
      <c r="G759" s="11"/>
      <c r="H759" s="11"/>
    </row>
    <row r="760" spans="1:8" s="8" customFormat="1" ht="12.75">
      <c r="A760" s="126"/>
      <c r="B760" s="11"/>
      <c r="C760" s="11"/>
      <c r="D760" s="11"/>
      <c r="E760" s="11"/>
      <c r="F760" s="11"/>
      <c r="G760" s="11"/>
      <c r="H760" s="11"/>
    </row>
    <row r="761" spans="1:8" s="8" customFormat="1" ht="12.75">
      <c r="A761" s="126"/>
      <c r="B761" s="11"/>
      <c r="C761" s="11"/>
      <c r="D761" s="11"/>
      <c r="E761" s="11"/>
      <c r="F761" s="11"/>
      <c r="G761" s="11"/>
      <c r="H761" s="11"/>
    </row>
    <row r="762" spans="1:8" s="8" customFormat="1" ht="12.75">
      <c r="A762" s="126"/>
      <c r="B762" s="11"/>
      <c r="C762" s="11"/>
      <c r="D762" s="11"/>
      <c r="E762" s="11"/>
      <c r="F762" s="11"/>
      <c r="G762" s="11"/>
      <c r="H762" s="11"/>
    </row>
    <row r="763" spans="1:8" s="8" customFormat="1" ht="12.75">
      <c r="A763" s="126"/>
      <c r="B763" s="11"/>
      <c r="C763" s="11"/>
      <c r="D763" s="11"/>
      <c r="E763" s="11"/>
      <c r="F763" s="11"/>
      <c r="G763" s="11"/>
      <c r="H763" s="11"/>
    </row>
    <row r="764" spans="1:8" s="8" customFormat="1" ht="12.75">
      <c r="A764" s="126"/>
      <c r="B764" s="11"/>
      <c r="C764" s="11"/>
      <c r="D764" s="11"/>
      <c r="E764" s="11"/>
      <c r="F764" s="11"/>
      <c r="G764" s="11"/>
      <c r="H764" s="11"/>
    </row>
    <row r="765" spans="1:8" s="8" customFormat="1" ht="12.75">
      <c r="A765" s="126"/>
      <c r="B765" s="11"/>
      <c r="C765" s="11"/>
      <c r="D765" s="11"/>
      <c r="E765" s="11"/>
      <c r="F765" s="11"/>
      <c r="G765" s="11"/>
      <c r="H765" s="11"/>
    </row>
    <row r="766" spans="1:8" s="8" customFormat="1" ht="12.75">
      <c r="A766" s="126"/>
      <c r="B766" s="11"/>
      <c r="C766" s="11"/>
      <c r="D766" s="11"/>
      <c r="E766" s="11"/>
      <c r="F766" s="11"/>
      <c r="G766" s="11"/>
      <c r="H766" s="11"/>
    </row>
    <row r="767" spans="1:8" s="8" customFormat="1" ht="12.75">
      <c r="A767" s="126"/>
      <c r="B767" s="11"/>
      <c r="C767" s="11"/>
      <c r="D767" s="11"/>
      <c r="E767" s="11"/>
      <c r="F767" s="11"/>
      <c r="G767" s="11"/>
      <c r="H767" s="11"/>
    </row>
    <row r="768" spans="1:8" s="8" customFormat="1" ht="12.75">
      <c r="A768" s="126"/>
      <c r="B768" s="11"/>
      <c r="C768" s="11"/>
      <c r="D768" s="11"/>
      <c r="E768" s="11"/>
      <c r="F768" s="11"/>
      <c r="G768" s="11"/>
      <c r="H768" s="11"/>
    </row>
    <row r="769" spans="1:8" s="8" customFormat="1" ht="12.75">
      <c r="A769" s="126"/>
      <c r="B769" s="11"/>
      <c r="C769" s="11"/>
      <c r="D769" s="11"/>
      <c r="E769" s="11"/>
      <c r="F769" s="11"/>
      <c r="G769" s="11"/>
      <c r="H769" s="11"/>
    </row>
    <row r="770" spans="1:8" s="8" customFormat="1" ht="12.75">
      <c r="A770" s="126"/>
      <c r="B770" s="11"/>
      <c r="C770" s="11"/>
      <c r="D770" s="11"/>
      <c r="E770" s="11"/>
      <c r="F770" s="11"/>
      <c r="G770" s="11"/>
      <c r="H770" s="11"/>
    </row>
    <row r="771" spans="1:8" s="8" customFormat="1" ht="12.75">
      <c r="A771" s="126"/>
      <c r="B771" s="11"/>
      <c r="C771" s="11"/>
      <c r="D771" s="11"/>
      <c r="E771" s="11"/>
      <c r="F771" s="11"/>
      <c r="G771" s="11"/>
      <c r="H771" s="11"/>
    </row>
    <row r="772" spans="1:8" s="8" customFormat="1" ht="12.75">
      <c r="A772" s="126"/>
      <c r="B772" s="11"/>
      <c r="C772" s="11"/>
      <c r="D772" s="11"/>
      <c r="E772" s="11"/>
      <c r="F772" s="11"/>
      <c r="G772" s="11"/>
      <c r="H772" s="11"/>
    </row>
    <row r="773" spans="1:8" s="8" customFormat="1" ht="12.75">
      <c r="A773" s="126"/>
      <c r="B773" s="11"/>
      <c r="C773" s="11"/>
      <c r="D773" s="11"/>
      <c r="E773" s="11"/>
      <c r="F773" s="11"/>
      <c r="G773" s="11"/>
      <c r="H773" s="11"/>
    </row>
    <row r="774" spans="1:8" s="8" customFormat="1" ht="12.75">
      <c r="A774" s="126"/>
      <c r="B774" s="11"/>
      <c r="C774" s="11"/>
      <c r="D774" s="11"/>
      <c r="E774" s="11"/>
      <c r="F774" s="11"/>
      <c r="G774" s="11"/>
      <c r="H774" s="11"/>
    </row>
    <row r="775" spans="1:8" s="8" customFormat="1" ht="12.75">
      <c r="A775" s="126"/>
      <c r="B775" s="11"/>
      <c r="C775" s="11"/>
      <c r="D775" s="11"/>
      <c r="E775" s="11"/>
      <c r="F775" s="11"/>
      <c r="G775" s="11"/>
      <c r="H775" s="11"/>
    </row>
    <row r="776" spans="1:8" s="8" customFormat="1" ht="12.75">
      <c r="A776" s="126"/>
      <c r="B776" s="11"/>
      <c r="C776" s="11"/>
      <c r="D776" s="11"/>
      <c r="E776" s="11"/>
      <c r="F776" s="11"/>
      <c r="G776" s="11"/>
      <c r="H776" s="11"/>
    </row>
    <row r="777" spans="1:8" s="8" customFormat="1" ht="12.75">
      <c r="A777" s="126"/>
      <c r="B777" s="11"/>
      <c r="C777" s="11"/>
      <c r="D777" s="11"/>
      <c r="E777" s="11"/>
      <c r="F777" s="11"/>
      <c r="G777" s="11"/>
      <c r="H777" s="11"/>
    </row>
    <row r="778" spans="1:8" s="8" customFormat="1" ht="12.75">
      <c r="A778" s="126"/>
      <c r="B778" s="11"/>
      <c r="C778" s="11"/>
      <c r="D778" s="11"/>
      <c r="E778" s="11"/>
      <c r="F778" s="11"/>
      <c r="G778" s="11"/>
      <c r="H778" s="11"/>
    </row>
    <row r="779" spans="1:8" s="8" customFormat="1" ht="12.75">
      <c r="A779" s="126"/>
      <c r="B779" s="11"/>
      <c r="C779" s="11"/>
      <c r="D779" s="11"/>
      <c r="E779" s="11"/>
      <c r="F779" s="11"/>
      <c r="G779" s="11"/>
      <c r="H779" s="11"/>
    </row>
    <row r="780" spans="1:8" s="8" customFormat="1" ht="12.75">
      <c r="A780" s="126"/>
      <c r="B780" s="11"/>
      <c r="C780" s="11"/>
      <c r="D780" s="11"/>
      <c r="E780" s="11"/>
      <c r="F780" s="11"/>
      <c r="G780" s="11"/>
      <c r="H780" s="11"/>
    </row>
    <row r="781" spans="1:8" s="8" customFormat="1" ht="12.75">
      <c r="A781" s="126"/>
      <c r="B781" s="11"/>
      <c r="C781" s="11"/>
      <c r="D781" s="11"/>
      <c r="E781" s="11"/>
      <c r="F781" s="11"/>
      <c r="G781" s="11"/>
      <c r="H781" s="11"/>
    </row>
    <row r="782" spans="1:8" s="8" customFormat="1" ht="12.75">
      <c r="A782" s="126"/>
      <c r="B782" s="11"/>
      <c r="C782" s="11"/>
      <c r="D782" s="11"/>
      <c r="E782" s="11"/>
      <c r="F782" s="11"/>
      <c r="G782" s="11"/>
      <c r="H782" s="11"/>
    </row>
    <row r="783" spans="1:8" s="8" customFormat="1" ht="18">
      <c r="A783" s="16" t="s">
        <v>485</v>
      </c>
      <c r="D783" s="12"/>
      <c r="E783" s="12"/>
      <c r="F783" s="13"/>
      <c r="G783" s="13"/>
      <c r="H783" s="14"/>
    </row>
    <row r="784" spans="1:8" s="8" customFormat="1" ht="12.75">
      <c r="A784" s="234" t="s">
        <v>26</v>
      </c>
      <c r="D784" s="12"/>
      <c r="E784" s="12"/>
      <c r="F784" s="13"/>
      <c r="G784" s="13"/>
      <c r="H784" s="14"/>
    </row>
    <row r="785" spans="1:8" s="8" customFormat="1" ht="12.75">
      <c r="A785" s="540" t="s">
        <v>51</v>
      </c>
      <c r="D785" s="12"/>
      <c r="E785" s="12"/>
      <c r="F785" s="13"/>
      <c r="G785" s="13"/>
      <c r="H785" s="14"/>
    </row>
    <row r="786" spans="1:8" s="8" customFormat="1" ht="13.5" thickBot="1">
      <c r="A786" s="217"/>
      <c r="E786" s="10"/>
      <c r="F786" s="10"/>
      <c r="G786" s="10"/>
      <c r="H786" s="14"/>
    </row>
    <row r="787" spans="1:9" s="33" customFormat="1" ht="67.5" customHeight="1">
      <c r="A787" s="235"/>
      <c r="B787" s="53" t="s">
        <v>435</v>
      </c>
      <c r="C787" s="546" t="s">
        <v>251</v>
      </c>
      <c r="D787" s="546" t="s">
        <v>287</v>
      </c>
      <c r="E787" s="253" t="s">
        <v>29</v>
      </c>
      <c r="F787" s="615" t="s">
        <v>113</v>
      </c>
      <c r="G787" s="615" t="s">
        <v>242</v>
      </c>
      <c r="H787" s="615" t="s">
        <v>120</v>
      </c>
      <c r="I787" s="631" t="s">
        <v>213</v>
      </c>
    </row>
    <row r="788" spans="1:9" s="33" customFormat="1" ht="12.75">
      <c r="A788" s="236" t="s">
        <v>430</v>
      </c>
      <c r="B788" s="54" t="str">
        <f>'Wksht 1. Data Inputs'!B15</f>
        <v>potential 2003 waste comp</v>
      </c>
      <c r="C788" s="635"/>
      <c r="D788" s="635"/>
      <c r="E788" s="537" t="s">
        <v>28</v>
      </c>
      <c r="F788" s="634"/>
      <c r="G788" s="634"/>
      <c r="H788" s="637"/>
      <c r="I788" s="632"/>
    </row>
    <row r="789" spans="1:9" s="33" customFormat="1" ht="12.75">
      <c r="A789" s="221" t="s">
        <v>373</v>
      </c>
      <c r="B789" s="42">
        <f aca="true" t="shared" si="23" ref="B789:B800">B15</f>
        <v>48844</v>
      </c>
      <c r="C789" s="42">
        <f>B789*'Wksht 3. Conversion Factors'!C55</f>
        <v>-10082486.890410088</v>
      </c>
      <c r="D789" s="42" t="e">
        <f>B789*('Wksht 4. Calculations'!$B$15*'Wksht 3. Conversion Factors'!E55+'Wksht 4. Calculations'!$B$16*'Wksht 3. Conversion Factors'!F55)</f>
        <v>#DIV/0!</v>
      </c>
      <c r="E789" s="56" t="e">
        <f>C789-D789</f>
        <v>#DIV/0!</v>
      </c>
      <c r="F789" s="42" t="e">
        <f>E789/'Wksht 3. Conversion Factors'!$B$105</f>
        <v>#DIV/0!</v>
      </c>
      <c r="G789" s="42" t="e">
        <f>E789/'Wksht 3. Conversion Factors'!$B$104</f>
        <v>#DIV/0!</v>
      </c>
      <c r="H789" s="42" t="e">
        <f>G789/'Wksht 3. Conversion Factors'!$B$101</f>
        <v>#DIV/0!</v>
      </c>
      <c r="I789" s="469" t="e">
        <f>H789*'Wksht 3. Conversion Factors'!$B$107</f>
        <v>#DIV/0!</v>
      </c>
    </row>
    <row r="790" spans="1:9" s="33" customFormat="1" ht="12.75">
      <c r="A790" s="221" t="s">
        <v>374</v>
      </c>
      <c r="B790" s="42">
        <f t="shared" si="23"/>
        <v>102532</v>
      </c>
      <c r="C790" s="42">
        <f>B790*'Wksht 3. Conversion Factors'!C56</f>
        <v>-2047174.5258219875</v>
      </c>
      <c r="D790" s="42" t="e">
        <f>B790*('Wksht 4. Calculations'!$B$15*'Wksht 3. Conversion Factors'!E56+'Wksht 4. Calculations'!$B$16*'Wksht 3. Conversion Factors'!F56)</f>
        <v>#DIV/0!</v>
      </c>
      <c r="E790" s="56" t="e">
        <f aca="true" t="shared" si="24" ref="E790:E800">C790-D790</f>
        <v>#DIV/0!</v>
      </c>
      <c r="F790" s="42" t="e">
        <f>E790/'Wksht 3. Conversion Factors'!$B$105</f>
        <v>#DIV/0!</v>
      </c>
      <c r="G790" s="42" t="e">
        <f>E790/'Wksht 3. Conversion Factors'!$B$104</f>
        <v>#DIV/0!</v>
      </c>
      <c r="H790" s="42" t="e">
        <f>G790/'Wksht 3. Conversion Factors'!$B$101</f>
        <v>#DIV/0!</v>
      </c>
      <c r="I790" s="469" t="e">
        <f>H790*'Wksht 3. Conversion Factors'!$B$107</f>
        <v>#DIV/0!</v>
      </c>
    </row>
    <row r="791" spans="1:9" s="33" customFormat="1" ht="12.75">
      <c r="A791" s="221" t="s">
        <v>375</v>
      </c>
      <c r="B791" s="42">
        <f t="shared" si="23"/>
        <v>234629</v>
      </c>
      <c r="C791" s="42">
        <f>B791*'Wksht 3. Conversion Factors'!C60</f>
        <v>-498682.7805862249</v>
      </c>
      <c r="D791" s="42" t="e">
        <f>B791*('Wksht 4. Calculations'!$B$15*'Wksht 3. Conversion Factors'!E60+'Wksht 4. Calculations'!$B$16*'Wksht 3. Conversion Factors'!F60)</f>
        <v>#DIV/0!</v>
      </c>
      <c r="E791" s="56" t="e">
        <f t="shared" si="24"/>
        <v>#DIV/0!</v>
      </c>
      <c r="F791" s="42" t="e">
        <f>E791/'Wksht 3. Conversion Factors'!$B$105</f>
        <v>#DIV/0!</v>
      </c>
      <c r="G791" s="42" t="e">
        <f>E791/'Wksht 3. Conversion Factors'!$B$104</f>
        <v>#DIV/0!</v>
      </c>
      <c r="H791" s="42" t="e">
        <f>G791/'Wksht 3. Conversion Factors'!$B$101</f>
        <v>#DIV/0!</v>
      </c>
      <c r="I791" s="469" t="e">
        <f>H791*'Wksht 3. Conversion Factors'!$B$107</f>
        <v>#DIV/0!</v>
      </c>
    </row>
    <row r="792" spans="1:9" s="33" customFormat="1" ht="12.75">
      <c r="A792" s="221" t="s">
        <v>376</v>
      </c>
      <c r="B792" s="42">
        <f t="shared" si="23"/>
        <v>68082</v>
      </c>
      <c r="C792" s="42">
        <f>B792*'Wksht 3. Conversion Factors'!C61</f>
        <v>-3465648.0318474327</v>
      </c>
      <c r="D792" s="42" t="e">
        <f>B792*('Wksht 4. Calculations'!$B$15*'Wksht 3. Conversion Factors'!E61+'Wksht 4. Calculations'!$B$16*'Wksht 3. Conversion Factors'!F61)</f>
        <v>#DIV/0!</v>
      </c>
      <c r="E792" s="56" t="e">
        <f t="shared" si="24"/>
        <v>#DIV/0!</v>
      </c>
      <c r="F792" s="42" t="e">
        <f>E792/'Wksht 3. Conversion Factors'!$B$105</f>
        <v>#DIV/0!</v>
      </c>
      <c r="G792" s="42" t="e">
        <f>E792/'Wksht 3. Conversion Factors'!$B$104</f>
        <v>#DIV/0!</v>
      </c>
      <c r="H792" s="42" t="e">
        <f>G792/'Wksht 3. Conversion Factors'!$B$101</f>
        <v>#DIV/0!</v>
      </c>
      <c r="I792" s="469" t="e">
        <f>H792*'Wksht 3. Conversion Factors'!$B$107</f>
        <v>#DIV/0!</v>
      </c>
    </row>
    <row r="793" spans="1:9" s="33" customFormat="1" ht="12.75">
      <c r="A793" s="221" t="s">
        <v>377</v>
      </c>
      <c r="B793" s="42">
        <f t="shared" si="23"/>
        <v>0</v>
      </c>
      <c r="C793" s="42">
        <f>B793*'Wksht 3. Conversion Factors'!C62</f>
        <v>0</v>
      </c>
      <c r="D793" s="42" t="e">
        <f>B793*('Wksht 4. Calculations'!$B$15*'Wksht 3. Conversion Factors'!E62+'Wksht 4. Calculations'!$B$16*'Wksht 3. Conversion Factors'!F62)</f>
        <v>#DIV/0!</v>
      </c>
      <c r="E793" s="56" t="e">
        <f t="shared" si="24"/>
        <v>#DIV/0!</v>
      </c>
      <c r="F793" s="42" t="e">
        <f>E793/'Wksht 3. Conversion Factors'!$B$105</f>
        <v>#DIV/0!</v>
      </c>
      <c r="G793" s="42" t="e">
        <f>E793/'Wksht 3. Conversion Factors'!$B$104</f>
        <v>#DIV/0!</v>
      </c>
      <c r="H793" s="42" t="e">
        <f>G793/'Wksht 3. Conversion Factors'!$B$101</f>
        <v>#DIV/0!</v>
      </c>
      <c r="I793" s="469" t="e">
        <f>H793*'Wksht 3. Conversion Factors'!$B$107</f>
        <v>#DIV/0!</v>
      </c>
    </row>
    <row r="794" spans="1:9" s="33" customFormat="1" ht="12.75">
      <c r="A794" s="221" t="s">
        <v>378</v>
      </c>
      <c r="B794" s="42">
        <f t="shared" si="23"/>
        <v>87601</v>
      </c>
      <c r="C794" s="42">
        <f>B794*'Wksht 3. Conversion Factors'!C63</f>
        <v>-4628131.337811702</v>
      </c>
      <c r="D794" s="42" t="e">
        <f>B794*('Wksht 4. Calculations'!$B$15*'Wksht 3. Conversion Factors'!E63+'Wksht 4. Calculations'!$B$16*'Wksht 3. Conversion Factors'!F63)</f>
        <v>#DIV/0!</v>
      </c>
      <c r="E794" s="56" t="e">
        <f t="shared" si="24"/>
        <v>#DIV/0!</v>
      </c>
      <c r="F794" s="42" t="e">
        <f>E794/'Wksht 3. Conversion Factors'!$B$105</f>
        <v>#DIV/0!</v>
      </c>
      <c r="G794" s="42" t="e">
        <f>E794/'Wksht 3. Conversion Factors'!$B$104</f>
        <v>#DIV/0!</v>
      </c>
      <c r="H794" s="42" t="e">
        <f>G794/'Wksht 3. Conversion Factors'!$B$101</f>
        <v>#DIV/0!</v>
      </c>
      <c r="I794" s="469" t="e">
        <f>H794*'Wksht 3. Conversion Factors'!$B$107</f>
        <v>#DIV/0!</v>
      </c>
    </row>
    <row r="795" spans="1:9" s="33" customFormat="1" ht="12.75">
      <c r="A795" s="221" t="s">
        <v>372</v>
      </c>
      <c r="B795" s="42">
        <f t="shared" si="23"/>
        <v>785032</v>
      </c>
      <c r="C795" s="42">
        <f>B795*'Wksht 3. Conversion Factors'!C64</f>
        <v>-12103751.065380799</v>
      </c>
      <c r="D795" s="42" t="e">
        <f>B795*('Wksht 4. Calculations'!$B$15*'Wksht 3. Conversion Factors'!E64+'Wksht 4. Calculations'!$B$16*'Wksht 3. Conversion Factors'!F64)</f>
        <v>#DIV/0!</v>
      </c>
      <c r="E795" s="56" t="e">
        <f t="shared" si="24"/>
        <v>#DIV/0!</v>
      </c>
      <c r="F795" s="42" t="e">
        <f>E795/'Wksht 3. Conversion Factors'!$B$105</f>
        <v>#DIV/0!</v>
      </c>
      <c r="G795" s="42" t="e">
        <f>E795/'Wksht 3. Conversion Factors'!$B$104</f>
        <v>#DIV/0!</v>
      </c>
      <c r="H795" s="42" t="e">
        <f>G795/'Wksht 3. Conversion Factors'!$B$101</f>
        <v>#DIV/0!</v>
      </c>
      <c r="I795" s="469" t="e">
        <f>H795*'Wksht 3. Conversion Factors'!$B$107</f>
        <v>#DIV/0!</v>
      </c>
    </row>
    <row r="796" spans="1:9" s="33" customFormat="1" ht="12.75">
      <c r="A796" s="221" t="s">
        <v>476</v>
      </c>
      <c r="B796" s="42">
        <f t="shared" si="23"/>
        <v>251027</v>
      </c>
      <c r="C796" s="42">
        <f>B796*'Wksht 3. Conversion Factors'!C65</f>
        <v>-172117.0431160179</v>
      </c>
      <c r="D796" s="42" t="e">
        <f>B796*('Wksht 4. Calculations'!$B$15*'Wksht 3. Conversion Factors'!E65+'Wksht 4. Calculations'!$B$16*'Wksht 3. Conversion Factors'!F65)</f>
        <v>#DIV/0!</v>
      </c>
      <c r="E796" s="56" t="e">
        <f t="shared" si="24"/>
        <v>#DIV/0!</v>
      </c>
      <c r="F796" s="42" t="e">
        <f>E796/'Wksht 3. Conversion Factors'!$B$105</f>
        <v>#DIV/0!</v>
      </c>
      <c r="G796" s="42" t="e">
        <f>E796/'Wksht 3. Conversion Factors'!$B$104</f>
        <v>#DIV/0!</v>
      </c>
      <c r="H796" s="42" t="e">
        <f>G796/'Wksht 3. Conversion Factors'!$B$101</f>
        <v>#DIV/0!</v>
      </c>
      <c r="I796" s="469" t="e">
        <f>H796*'Wksht 3. Conversion Factors'!$B$107</f>
        <v>#DIV/0!</v>
      </c>
    </row>
    <row r="797" spans="1:9" s="33" customFormat="1" ht="12.75">
      <c r="A797" s="221" t="s">
        <v>370</v>
      </c>
      <c r="B797" s="42">
        <f t="shared" si="23"/>
        <v>389263</v>
      </c>
      <c r="C797" s="42">
        <f>B797*'Wksht 3. Conversion Factors'!C66</f>
        <v>-6417370.720006769</v>
      </c>
      <c r="D797" s="42" t="e">
        <f>B797*('Wksht 4. Calculations'!$B$15*'Wksht 3. Conversion Factors'!E66+'Wksht 4. Calculations'!$B$16*'Wksht 3. Conversion Factors'!F66)</f>
        <v>#DIV/0!</v>
      </c>
      <c r="E797" s="56" t="e">
        <f t="shared" si="24"/>
        <v>#DIV/0!</v>
      </c>
      <c r="F797" s="42" t="e">
        <f>E797/'Wksht 3. Conversion Factors'!$B$105</f>
        <v>#DIV/0!</v>
      </c>
      <c r="G797" s="42" t="e">
        <f>E797/'Wksht 3. Conversion Factors'!$B$104</f>
        <v>#DIV/0!</v>
      </c>
      <c r="H797" s="42" t="e">
        <f>G797/'Wksht 3. Conversion Factors'!$B$101</f>
        <v>#DIV/0!</v>
      </c>
      <c r="I797" s="469" t="e">
        <f>H797*'Wksht 3. Conversion Factors'!$B$107</f>
        <v>#DIV/0!</v>
      </c>
    </row>
    <row r="798" spans="1:9" s="33" customFormat="1" ht="12.75">
      <c r="A798" s="221" t="s">
        <v>371</v>
      </c>
      <c r="B798" s="42">
        <f t="shared" si="23"/>
        <v>341975</v>
      </c>
      <c r="C798" s="42">
        <f>B798*'Wksht 3. Conversion Factors'!C67</f>
        <v>-3447462.707308211</v>
      </c>
      <c r="D798" s="42" t="e">
        <f>B798*('Wksht 4. Calculations'!$B$15*'Wksht 3. Conversion Factors'!E67+'Wksht 4. Calculations'!$B$16*'Wksht 3. Conversion Factors'!F67)</f>
        <v>#DIV/0!</v>
      </c>
      <c r="E798" s="56" t="e">
        <f t="shared" si="24"/>
        <v>#DIV/0!</v>
      </c>
      <c r="F798" s="42" t="e">
        <f>E798/'Wksht 3. Conversion Factors'!$B$105</f>
        <v>#DIV/0!</v>
      </c>
      <c r="G798" s="42" t="e">
        <f>E798/'Wksht 3. Conversion Factors'!$B$104</f>
        <v>#DIV/0!</v>
      </c>
      <c r="H798" s="42" t="e">
        <f>G798/'Wksht 3. Conversion Factors'!$B$101</f>
        <v>#DIV/0!</v>
      </c>
      <c r="I798" s="469" t="e">
        <f>H798*'Wksht 3. Conversion Factors'!$B$107</f>
        <v>#DIV/0!</v>
      </c>
    </row>
    <row r="799" spans="1:9" s="33" customFormat="1" ht="12.75">
      <c r="A799" s="221" t="s">
        <v>477</v>
      </c>
      <c r="B799" s="42">
        <f t="shared" si="23"/>
        <v>0</v>
      </c>
      <c r="C799" s="42">
        <f>B799*'Wksht 3. Conversion Factors'!C68</f>
        <v>0</v>
      </c>
      <c r="D799" s="42" t="e">
        <f>B799*('Wksht 4. Calculations'!$B$15*'Wksht 3. Conversion Factors'!E68+'Wksht 4. Calculations'!$B$16*'Wksht 3. Conversion Factors'!F68)</f>
        <v>#DIV/0!</v>
      </c>
      <c r="E799" s="56" t="e">
        <f t="shared" si="24"/>
        <v>#DIV/0!</v>
      </c>
      <c r="F799" s="42" t="e">
        <f>E799/'Wksht 3. Conversion Factors'!$B$105</f>
        <v>#DIV/0!</v>
      </c>
      <c r="G799" s="42" t="e">
        <f>E799/'Wksht 3. Conversion Factors'!$B$104</f>
        <v>#DIV/0!</v>
      </c>
      <c r="H799" s="42" t="e">
        <f>G799/'Wksht 3. Conversion Factors'!$B$101</f>
        <v>#DIV/0!</v>
      </c>
      <c r="I799" s="469" t="e">
        <f>H799*'Wksht 3. Conversion Factors'!$B$107</f>
        <v>#DIV/0!</v>
      </c>
    </row>
    <row r="800" spans="1:9" s="33" customFormat="1" ht="12.75">
      <c r="A800" s="221" t="s">
        <v>478</v>
      </c>
      <c r="B800" s="42">
        <f t="shared" si="23"/>
        <v>0</v>
      </c>
      <c r="C800" s="42">
        <f>B800*'Wksht 3. Conversion Factors'!C69</f>
        <v>0</v>
      </c>
      <c r="D800" s="42" t="e">
        <f>B800*('Wksht 4. Calculations'!$B$15*'Wksht 3. Conversion Factors'!E69+'Wksht 4. Calculations'!$B$16*'Wksht 3. Conversion Factors'!F69)</f>
        <v>#DIV/0!</v>
      </c>
      <c r="E800" s="56" t="e">
        <f t="shared" si="24"/>
        <v>#DIV/0!</v>
      </c>
      <c r="F800" s="42" t="e">
        <f>E800/'Wksht 3. Conversion Factors'!$B$105</f>
        <v>#DIV/0!</v>
      </c>
      <c r="G800" s="42" t="e">
        <f>E800/'Wksht 3. Conversion Factors'!$B$104</f>
        <v>#DIV/0!</v>
      </c>
      <c r="H800" s="42" t="e">
        <f>G800/'Wksht 3. Conversion Factors'!$B$101</f>
        <v>#DIV/0!</v>
      </c>
      <c r="I800" s="469" t="e">
        <f>H800*'Wksht 3. Conversion Factors'!$B$107</f>
        <v>#DIV/0!</v>
      </c>
    </row>
    <row r="801" spans="1:9" s="33" customFormat="1" ht="12.75">
      <c r="A801" s="221" t="s">
        <v>85</v>
      </c>
      <c r="B801" s="42">
        <f>B44</f>
        <v>433821</v>
      </c>
      <c r="C801" s="42">
        <f>B801*'Wksht 3. Conversion Factors'!C77</f>
        <v>-9952634.617800001</v>
      </c>
      <c r="D801" s="42" t="e">
        <f>B801*('Wksht 4. Calculations'!$B$15*'Wksht 3. Conversion Factors'!E77+'Wksht 4. Calculations'!$B$16*'Wksht 3. Conversion Factors'!F77)</f>
        <v>#DIV/0!</v>
      </c>
      <c r="E801" s="56" t="e">
        <f>C801-D801</f>
        <v>#DIV/0!</v>
      </c>
      <c r="F801" s="42" t="e">
        <f>E801/'Wksht 3. Conversion Factors'!$B$105</f>
        <v>#DIV/0!</v>
      </c>
      <c r="G801" s="42" t="e">
        <f>E801/'Wksht 3. Conversion Factors'!$B$104</f>
        <v>#DIV/0!</v>
      </c>
      <c r="H801" s="42" t="e">
        <f>G801/'Wksht 3. Conversion Factors'!$B$101</f>
        <v>#DIV/0!</v>
      </c>
      <c r="I801" s="469" t="e">
        <f>H801*'Wksht 3. Conversion Factors'!$B$107</f>
        <v>#DIV/0!</v>
      </c>
    </row>
    <row r="802" spans="1:9" s="33" customFormat="1" ht="12.75">
      <c r="A802" s="221" t="s">
        <v>480</v>
      </c>
      <c r="B802" s="42">
        <f>B46</f>
        <v>906653</v>
      </c>
      <c r="C802" s="42">
        <f>B802*'Wksht 3. Conversion Factors'!C81</f>
        <v>-47522297.446562655</v>
      </c>
      <c r="D802" s="42" t="e">
        <f>B802*('Wksht 4. Calculations'!$B$15*'Wksht 3. Conversion Factors'!E81+'Wksht 4. Calculations'!$B$16*'Wksht 3. Conversion Factors'!F81)</f>
        <v>#DIV/0!</v>
      </c>
      <c r="E802" s="56" t="e">
        <f>C802-D802</f>
        <v>#DIV/0!</v>
      </c>
      <c r="F802" s="42" t="e">
        <f>E802/'Wksht 3. Conversion Factors'!$B$105</f>
        <v>#DIV/0!</v>
      </c>
      <c r="G802" s="42" t="e">
        <f>E802/'Wksht 3. Conversion Factors'!$B$104</f>
        <v>#DIV/0!</v>
      </c>
      <c r="H802" s="42" t="e">
        <f>G802/'Wksht 3. Conversion Factors'!$B$101</f>
        <v>#DIV/0!</v>
      </c>
      <c r="I802" s="469" t="e">
        <f>H802*'Wksht 3. Conversion Factors'!$B$107</f>
        <v>#DIV/0!</v>
      </c>
    </row>
    <row r="803" spans="1:9" s="33" customFormat="1" ht="12.75">
      <c r="A803" s="221" t="s">
        <v>389</v>
      </c>
      <c r="B803" s="42">
        <f>B47</f>
        <v>0</v>
      </c>
      <c r="C803" s="42">
        <f>B803*'Wksht 3. Conversion Factors'!C82</f>
        <v>0</v>
      </c>
      <c r="D803" s="42" t="e">
        <f>B803*('Wksht 4. Calculations'!$B$15*'Wksht 3. Conversion Factors'!E82+'Wksht 4. Calculations'!$B$16*'Wksht 3. Conversion Factors'!F82)</f>
        <v>#DIV/0!</v>
      </c>
      <c r="E803" s="56" t="e">
        <f>C803-D803</f>
        <v>#DIV/0!</v>
      </c>
      <c r="F803" s="42" t="e">
        <f>E803/'Wksht 3. Conversion Factors'!$B$105</f>
        <v>#DIV/0!</v>
      </c>
      <c r="G803" s="42" t="e">
        <f>E803/'Wksht 3. Conversion Factors'!$B$104</f>
        <v>#DIV/0!</v>
      </c>
      <c r="H803" s="42" t="e">
        <f>G803/'Wksht 3. Conversion Factors'!$B$101</f>
        <v>#DIV/0!</v>
      </c>
      <c r="I803" s="469" t="e">
        <f>H803*'Wksht 3. Conversion Factors'!$B$107</f>
        <v>#DIV/0!</v>
      </c>
    </row>
    <row r="804" spans="1:9" s="33" customFormat="1" ht="13.5" thickBot="1">
      <c r="A804" s="229" t="s">
        <v>398</v>
      </c>
      <c r="B804" s="48">
        <f>SUM(B788:B803)</f>
        <v>3649459</v>
      </c>
      <c r="C804" s="48">
        <f>SUM(C789:C803)</f>
        <v>-100337757.16665187</v>
      </c>
      <c r="D804" s="48" t="e">
        <f>SUM(D789:D803)</f>
        <v>#DIV/0!</v>
      </c>
      <c r="E804" s="48" t="e">
        <f>C804-D804</f>
        <v>#DIV/0!</v>
      </c>
      <c r="F804" s="48" t="e">
        <f>SUM(F789:F803)</f>
        <v>#DIV/0!</v>
      </c>
      <c r="G804" s="48" t="e">
        <f>SUM(G789:G803)</f>
        <v>#DIV/0!</v>
      </c>
      <c r="H804" s="48" t="e">
        <f>SUM(H789:H803)</f>
        <v>#DIV/0!</v>
      </c>
      <c r="I804" s="45" t="e">
        <f>SUM(I789:I803)</f>
        <v>#DIV/0!</v>
      </c>
    </row>
    <row r="805" spans="1:8" s="33" customFormat="1" ht="12.75">
      <c r="A805" s="237"/>
      <c r="B805" s="21"/>
      <c r="C805" s="27"/>
      <c r="D805" s="27"/>
      <c r="E805" s="32"/>
      <c r="F805" s="23"/>
      <c r="G805" s="23"/>
      <c r="H805" s="22"/>
    </row>
    <row r="806" spans="1:8" s="33" customFormat="1" ht="12.75">
      <c r="A806" s="224" t="s">
        <v>438</v>
      </c>
      <c r="B806" s="21"/>
      <c r="C806" s="27"/>
      <c r="D806" s="27"/>
      <c r="E806" s="32"/>
      <c r="F806" s="23"/>
      <c r="G806" s="23"/>
      <c r="H806" s="22"/>
    </row>
    <row r="807" spans="1:8" s="33" customFormat="1" ht="12.75">
      <c r="A807" s="107" t="str">
        <f>'Wksht 1. Data Inputs'!B14</f>
        <v>PA Department of Environmental Protection</v>
      </c>
      <c r="B807" s="8"/>
      <c r="E807" s="30"/>
      <c r="F807" s="27"/>
      <c r="G807" s="27"/>
      <c r="H807" s="27"/>
    </row>
    <row r="808" spans="1:9" s="33" customFormat="1" ht="12.75">
      <c r="A808" s="603" t="str">
        <f>'Wksht 3. Conversion Factors'!B91</f>
        <v>U.S. EPA. "WARM Online, Version 8." (June 2006). 26 June 06 http://yosemite.epa.gov/oar/globalwarming.nsf/WARM.</v>
      </c>
      <c r="B808" s="571"/>
      <c r="C808" s="571"/>
      <c r="D808" s="571"/>
      <c r="E808" s="571"/>
      <c r="F808" s="571"/>
      <c r="G808" s="571"/>
      <c r="H808" s="571"/>
      <c r="I808" s="571"/>
    </row>
    <row r="809" spans="1:8" s="33" customFormat="1" ht="27" customHeight="1">
      <c r="A809" s="612" t="str">
        <f>'Wksht 3. Conversion Factors'!B92</f>
        <v>U.S. EPA. "Solid Waste Management and Greenhouse Gases: A Life-Cycle Assessment of Emissions and Sinks. 2nd edition." EPA 530-R-02-006. 11 Nov 2005 http://www.epa.gov/epaoswer/non-hw/muncpl/ghg/ghg.htm. </v>
      </c>
      <c r="B809" s="571"/>
      <c r="C809" s="571"/>
      <c r="D809" s="571"/>
      <c r="E809" s="571"/>
      <c r="F809" s="571"/>
      <c r="G809" s="571"/>
      <c r="H809" s="571"/>
    </row>
    <row r="810" spans="1:8" s="33" customFormat="1" ht="12.75">
      <c r="A810" s="612" t="str">
        <f>'Wksht 3. Conversion Factors'!D101</f>
        <v>Federal Highway Administration (FHWA). "Table VM-1: Annual Vehicle Distance Traveled in Miles and Related Data- 2004".  (2006) 1 Sept 06 http://www.fhwa.dot.gov/policy/ohim/hs04/pdf/vm1.pdf.</v>
      </c>
      <c r="B810" s="571"/>
      <c r="C810" s="571"/>
      <c r="D810" s="571"/>
      <c r="E810" s="571"/>
      <c r="F810" s="571"/>
      <c r="G810" s="571"/>
      <c r="H810" s="571"/>
    </row>
    <row r="811" spans="1:8" s="33" customFormat="1" ht="28.5" customHeight="1">
      <c r="A811" s="612" t="str">
        <f>'Wksht 3. Conversion Factors'!D102</f>
        <v>Energy Information Adminstration (EIA).  "Annual Energy Review 2005: Table A3: Approximate Heat Content of Petroleum Consumption, Selected Years, 1949-2005."  (2006). 1 Sept 06 http://www.eia.doe.gov/emeu/aer/pdf/pages/sec13_3.pdf.  </v>
      </c>
      <c r="B811" s="571"/>
      <c r="C811" s="571"/>
      <c r="D811" s="571"/>
      <c r="E811" s="571"/>
      <c r="F811" s="571"/>
      <c r="G811" s="571"/>
      <c r="H811" s="571"/>
    </row>
    <row r="812" spans="1:8" s="33" customFormat="1" ht="37.5" customHeight="1">
      <c r="A812" s="612" t="str">
        <f>'Wksht 3. Conversion Factors'!D105</f>
        <v>U.S. EPA and ICF Consulting Group. "Waste Management and Energy Savings: Benefits by the Numbers."  (2005). 18 Jan 06 http://yosemite.epa.gov/OAR/globalwarming.nsf/UniqueKeyLookup/TMAL6GDR3K/$File/Energy%20Savings.pdf. Another source: Energy Information Adminstration (EIA).  "Annual Energy Review 2005: Table A2: Approximate Heat Content of Petroleum Production, Imports, and Exports, Selected Years, 1949-2005." (2006). 1 Sept 06  http://www.eia.doe.gov/emeu/aer/pdf/pages/sec13_2.pdf.  </v>
      </c>
      <c r="B812" s="571"/>
      <c r="C812" s="571"/>
      <c r="D812" s="571"/>
      <c r="E812" s="571"/>
      <c r="F812" s="571"/>
      <c r="G812" s="571"/>
      <c r="H812" s="571"/>
    </row>
    <row r="813" spans="1:8" s="33" customFormat="1" ht="12.75">
      <c r="A813" s="612" t="str">
        <f>'Wksht 3. Conversion Factors'!D107</f>
        <v>U.S. Climate Technology Cooperation Gateway. "Greenhouse Gas Equivalencies Calculator." 18 Jan 06 http://www.usctcgateway.net/tool/.</v>
      </c>
      <c r="B813" s="571"/>
      <c r="C813" s="571"/>
      <c r="D813" s="571"/>
      <c r="E813" s="571"/>
      <c r="F813" s="571"/>
      <c r="G813" s="571"/>
      <c r="H813" s="571"/>
    </row>
    <row r="814" spans="1:8" s="8" customFormat="1" ht="12.75">
      <c r="A814" s="126"/>
      <c r="B814" s="11"/>
      <c r="C814" s="11"/>
      <c r="D814" s="11"/>
      <c r="E814" s="11"/>
      <c r="F814" s="11"/>
      <c r="G814" s="11"/>
      <c r="H814" s="11"/>
    </row>
    <row r="815" spans="1:8" s="8" customFormat="1" ht="18">
      <c r="A815" s="16" t="s">
        <v>30</v>
      </c>
      <c r="B815" s="11"/>
      <c r="C815" s="11"/>
      <c r="D815" s="11"/>
      <c r="E815" s="11"/>
      <c r="F815" s="11"/>
      <c r="G815" s="11"/>
      <c r="H815" s="11"/>
    </row>
    <row r="816" spans="1:8" s="8" customFormat="1" ht="12.75">
      <c r="A816" s="126"/>
      <c r="B816" s="11"/>
      <c r="C816" s="11"/>
      <c r="D816" s="11"/>
      <c r="E816" s="11"/>
      <c r="F816" s="11"/>
      <c r="G816" s="11"/>
      <c r="H816" s="11"/>
    </row>
    <row r="817" spans="1:8" s="8" customFormat="1" ht="12.75">
      <c r="A817" s="126"/>
      <c r="B817" s="11"/>
      <c r="C817" s="11"/>
      <c r="D817" s="11"/>
      <c r="E817" s="11"/>
      <c r="F817" s="11"/>
      <c r="G817" s="11"/>
      <c r="H817" s="11"/>
    </row>
    <row r="818" spans="1:8" s="8" customFormat="1" ht="12.75">
      <c r="A818" s="126"/>
      <c r="B818" s="11"/>
      <c r="C818" s="11"/>
      <c r="D818" s="11"/>
      <c r="E818" s="11"/>
      <c r="F818" s="11"/>
      <c r="G818" s="11"/>
      <c r="H818" s="11"/>
    </row>
    <row r="819" spans="1:8" s="8" customFormat="1" ht="12.75">
      <c r="A819" s="126"/>
      <c r="B819" s="11"/>
      <c r="C819" s="11"/>
      <c r="D819" s="11"/>
      <c r="E819" s="11"/>
      <c r="F819" s="11"/>
      <c r="G819" s="11"/>
      <c r="H819" s="11"/>
    </row>
    <row r="820" spans="1:8" s="8" customFormat="1" ht="12.75">
      <c r="A820" s="126"/>
      <c r="B820" s="11"/>
      <c r="C820" s="11"/>
      <c r="D820" s="11"/>
      <c r="E820" s="11"/>
      <c r="F820" s="11"/>
      <c r="G820" s="11"/>
      <c r="H820" s="11"/>
    </row>
    <row r="821" spans="1:8" s="8" customFormat="1" ht="12.75">
      <c r="A821" s="126"/>
      <c r="B821" s="11"/>
      <c r="C821" s="11"/>
      <c r="D821" s="11"/>
      <c r="E821" s="11"/>
      <c r="F821" s="11"/>
      <c r="G821" s="11"/>
      <c r="H821" s="11"/>
    </row>
    <row r="822" spans="1:8" s="8" customFormat="1" ht="12.75">
      <c r="A822" s="126"/>
      <c r="B822" s="11"/>
      <c r="C822" s="11"/>
      <c r="D822" s="11"/>
      <c r="E822" s="11"/>
      <c r="F822" s="11"/>
      <c r="G822" s="11"/>
      <c r="H822" s="11"/>
    </row>
    <row r="823" spans="1:8" s="8" customFormat="1" ht="12.75">
      <c r="A823" s="126"/>
      <c r="B823" s="11"/>
      <c r="C823" s="11"/>
      <c r="D823" s="11"/>
      <c r="E823" s="11"/>
      <c r="F823" s="11"/>
      <c r="G823" s="11"/>
      <c r="H823" s="11"/>
    </row>
    <row r="824" spans="1:8" s="8" customFormat="1" ht="12.75">
      <c r="A824" s="126"/>
      <c r="B824" s="11"/>
      <c r="C824" s="11"/>
      <c r="D824" s="11"/>
      <c r="E824" s="11"/>
      <c r="F824" s="11"/>
      <c r="G824" s="11"/>
      <c r="H824" s="11"/>
    </row>
    <row r="825" spans="1:8" s="8" customFormat="1" ht="12.75">
      <c r="A825" s="126"/>
      <c r="B825" s="11"/>
      <c r="C825" s="11"/>
      <c r="D825" s="11"/>
      <c r="E825" s="11"/>
      <c r="F825" s="11"/>
      <c r="G825" s="11"/>
      <c r="H825" s="11"/>
    </row>
    <row r="826" spans="1:8" s="8" customFormat="1" ht="12.75">
      <c r="A826" s="126"/>
      <c r="B826" s="11"/>
      <c r="C826" s="11"/>
      <c r="D826" s="11"/>
      <c r="E826" s="11"/>
      <c r="F826" s="11"/>
      <c r="G826" s="11"/>
      <c r="H826" s="11"/>
    </row>
    <row r="827" spans="1:8" s="8" customFormat="1" ht="12.75">
      <c r="A827" s="126"/>
      <c r="B827" s="11"/>
      <c r="C827" s="11"/>
      <c r="D827" s="11"/>
      <c r="E827" s="11"/>
      <c r="F827" s="11"/>
      <c r="G827" s="11"/>
      <c r="H827" s="11"/>
    </row>
    <row r="828" spans="1:8" s="8" customFormat="1" ht="12.75">
      <c r="A828" s="126"/>
      <c r="B828" s="11"/>
      <c r="C828" s="11"/>
      <c r="D828" s="11"/>
      <c r="E828" s="11"/>
      <c r="F828" s="11"/>
      <c r="G828" s="11"/>
      <c r="H828" s="11"/>
    </row>
    <row r="829" spans="1:8" s="8" customFormat="1" ht="12.75">
      <c r="A829" s="126"/>
      <c r="B829" s="11"/>
      <c r="C829" s="11"/>
      <c r="D829" s="11"/>
      <c r="E829" s="11"/>
      <c r="F829" s="11"/>
      <c r="G829" s="11"/>
      <c r="H829" s="11"/>
    </row>
    <row r="830" spans="1:8" s="8" customFormat="1" ht="12.75">
      <c r="A830" s="126"/>
      <c r="B830" s="11"/>
      <c r="C830" s="11"/>
      <c r="D830" s="11"/>
      <c r="E830" s="11"/>
      <c r="F830" s="11"/>
      <c r="G830" s="11"/>
      <c r="H830" s="11"/>
    </row>
    <row r="831" spans="1:8" s="8" customFormat="1" ht="12.75">
      <c r="A831" s="126"/>
      <c r="B831" s="11"/>
      <c r="C831" s="11"/>
      <c r="D831" s="11"/>
      <c r="E831" s="11"/>
      <c r="F831" s="11"/>
      <c r="G831" s="11"/>
      <c r="H831" s="11"/>
    </row>
    <row r="832" spans="1:8" s="8" customFormat="1" ht="12.75">
      <c r="A832" s="126"/>
      <c r="B832" s="11"/>
      <c r="C832" s="11"/>
      <c r="D832" s="11"/>
      <c r="E832" s="11"/>
      <c r="F832" s="11"/>
      <c r="G832" s="11"/>
      <c r="H832" s="11"/>
    </row>
    <row r="833" spans="1:8" s="8" customFormat="1" ht="12.75">
      <c r="A833" s="126"/>
      <c r="B833" s="11"/>
      <c r="C833" s="11"/>
      <c r="D833" s="11"/>
      <c r="E833" s="11"/>
      <c r="F833" s="11"/>
      <c r="G833" s="11"/>
      <c r="H833" s="11"/>
    </row>
    <row r="834" spans="1:8" s="8" customFormat="1" ht="12.75">
      <c r="A834" s="126"/>
      <c r="B834" s="11"/>
      <c r="C834" s="11"/>
      <c r="D834" s="11"/>
      <c r="E834" s="11"/>
      <c r="F834" s="11"/>
      <c r="G834" s="11"/>
      <c r="H834" s="11"/>
    </row>
    <row r="835" spans="1:8" s="8" customFormat="1" ht="12.75">
      <c r="A835" s="126"/>
      <c r="B835" s="11"/>
      <c r="C835" s="11"/>
      <c r="D835" s="11"/>
      <c r="E835" s="11"/>
      <c r="F835" s="11"/>
      <c r="G835" s="11"/>
      <c r="H835" s="11"/>
    </row>
    <row r="836" spans="1:8" s="8" customFormat="1" ht="12.75">
      <c r="A836" s="126"/>
      <c r="B836" s="11"/>
      <c r="C836" s="11"/>
      <c r="D836" s="11"/>
      <c r="E836" s="11"/>
      <c r="F836" s="11"/>
      <c r="G836" s="11"/>
      <c r="H836" s="11"/>
    </row>
    <row r="837" spans="1:8" s="8" customFormat="1" ht="12.75">
      <c r="A837" s="126"/>
      <c r="B837" s="11"/>
      <c r="C837" s="11"/>
      <c r="D837" s="11"/>
      <c r="E837" s="11"/>
      <c r="F837" s="11"/>
      <c r="G837" s="11"/>
      <c r="H837" s="11"/>
    </row>
    <row r="838" spans="1:8" s="8" customFormat="1" ht="12.75">
      <c r="A838" s="126"/>
      <c r="B838" s="11"/>
      <c r="C838" s="11"/>
      <c r="D838" s="11"/>
      <c r="E838" s="11"/>
      <c r="F838" s="11"/>
      <c r="G838" s="11"/>
      <c r="H838" s="11"/>
    </row>
    <row r="839" spans="1:8" s="8" customFormat="1" ht="12.75">
      <c r="A839" s="126"/>
      <c r="B839" s="11"/>
      <c r="C839" s="11"/>
      <c r="D839" s="11"/>
      <c r="E839" s="11"/>
      <c r="F839" s="11"/>
      <c r="G839" s="11"/>
      <c r="H839" s="11"/>
    </row>
    <row r="840" spans="1:8" s="8" customFormat="1" ht="12.75">
      <c r="A840" s="126"/>
      <c r="B840" s="11"/>
      <c r="C840" s="11"/>
      <c r="D840" s="11"/>
      <c r="E840" s="11"/>
      <c r="F840" s="11"/>
      <c r="G840" s="11"/>
      <c r="H840" s="11"/>
    </row>
    <row r="841" spans="1:8" s="8" customFormat="1" ht="12.75">
      <c r="A841" s="126"/>
      <c r="B841" s="11"/>
      <c r="C841" s="11"/>
      <c r="D841" s="11"/>
      <c r="E841" s="11"/>
      <c r="F841" s="11"/>
      <c r="G841" s="11"/>
      <c r="H841" s="11"/>
    </row>
    <row r="842" spans="1:8" s="8" customFormat="1" ht="12.75">
      <c r="A842" s="126"/>
      <c r="B842" s="11"/>
      <c r="C842" s="11"/>
      <c r="D842" s="11"/>
      <c r="E842" s="11"/>
      <c r="F842" s="11"/>
      <c r="G842" s="11"/>
      <c r="H842" s="11"/>
    </row>
    <row r="843" spans="1:8" s="8" customFormat="1" ht="12.75">
      <c r="A843" s="126"/>
      <c r="B843" s="11"/>
      <c r="C843" s="11"/>
      <c r="D843" s="11"/>
      <c r="E843" s="11"/>
      <c r="F843" s="11"/>
      <c r="G843" s="11"/>
      <c r="H843" s="11"/>
    </row>
    <row r="844" spans="1:8" s="8" customFormat="1" ht="12.75">
      <c r="A844" s="126"/>
      <c r="B844" s="11"/>
      <c r="C844" s="11"/>
      <c r="D844" s="11"/>
      <c r="E844" s="11"/>
      <c r="F844" s="11"/>
      <c r="G844" s="11"/>
      <c r="H844" s="11"/>
    </row>
    <row r="845" spans="1:8" s="8" customFormat="1" ht="12.75">
      <c r="A845" s="126"/>
      <c r="B845" s="11"/>
      <c r="C845" s="11"/>
      <c r="D845" s="11"/>
      <c r="E845" s="11"/>
      <c r="F845" s="11"/>
      <c r="G845" s="11"/>
      <c r="H845" s="11"/>
    </row>
    <row r="846" spans="1:8" s="8" customFormat="1" ht="12.75">
      <c r="A846" s="126"/>
      <c r="B846" s="11"/>
      <c r="C846" s="11"/>
      <c r="D846" s="11"/>
      <c r="E846" s="11"/>
      <c r="F846" s="11"/>
      <c r="G846" s="11"/>
      <c r="H846" s="11"/>
    </row>
    <row r="847" spans="1:8" s="8" customFormat="1" ht="12.75">
      <c r="A847" s="126"/>
      <c r="B847" s="11"/>
      <c r="C847" s="11"/>
      <c r="D847" s="11"/>
      <c r="E847" s="11"/>
      <c r="F847" s="11"/>
      <c r="G847" s="11"/>
      <c r="H847" s="11"/>
    </row>
    <row r="848" spans="1:8" s="8" customFormat="1" ht="12.75">
      <c r="A848" s="126"/>
      <c r="B848" s="11"/>
      <c r="C848" s="11"/>
      <c r="D848" s="11"/>
      <c r="E848" s="11"/>
      <c r="F848" s="11"/>
      <c r="G848" s="11"/>
      <c r="H848" s="11"/>
    </row>
    <row r="849" spans="1:8" s="8" customFormat="1" ht="12.75">
      <c r="A849" s="126"/>
      <c r="B849" s="11"/>
      <c r="C849" s="11"/>
      <c r="D849" s="11"/>
      <c r="E849" s="11"/>
      <c r="F849" s="11"/>
      <c r="G849" s="11"/>
      <c r="H849" s="11"/>
    </row>
    <row r="850" spans="1:8" s="8" customFormat="1" ht="12.75">
      <c r="A850" s="126"/>
      <c r="B850" s="11"/>
      <c r="C850" s="11"/>
      <c r="D850" s="11"/>
      <c r="E850" s="11"/>
      <c r="F850" s="11"/>
      <c r="G850" s="11"/>
      <c r="H850" s="11"/>
    </row>
    <row r="851" spans="1:8" s="8" customFormat="1" ht="12.75">
      <c r="A851" s="126"/>
      <c r="B851" s="11"/>
      <c r="C851" s="11"/>
      <c r="D851" s="11"/>
      <c r="E851" s="11"/>
      <c r="F851" s="11"/>
      <c r="G851" s="11"/>
      <c r="H851" s="11"/>
    </row>
    <row r="852" spans="1:8" s="8" customFormat="1" ht="12.75">
      <c r="A852" s="126"/>
      <c r="B852" s="11"/>
      <c r="C852" s="11"/>
      <c r="D852" s="11"/>
      <c r="E852" s="11"/>
      <c r="F852" s="11"/>
      <c r="G852" s="11"/>
      <c r="H852" s="11"/>
    </row>
    <row r="853" spans="1:8" s="8" customFormat="1" ht="12.75">
      <c r="A853" s="126"/>
      <c r="B853" s="11"/>
      <c r="C853" s="11"/>
      <c r="D853" s="11"/>
      <c r="E853" s="11"/>
      <c r="F853" s="11"/>
      <c r="G853" s="11"/>
      <c r="H853" s="11"/>
    </row>
    <row r="854" spans="1:8" s="8" customFormat="1" ht="12.75">
      <c r="A854" s="126"/>
      <c r="B854" s="11"/>
      <c r="C854" s="11"/>
      <c r="D854" s="11"/>
      <c r="E854" s="11"/>
      <c r="F854" s="11"/>
      <c r="G854" s="11"/>
      <c r="H854" s="11"/>
    </row>
    <row r="855" spans="1:8" s="8" customFormat="1" ht="12.75">
      <c r="A855" s="126"/>
      <c r="B855" s="11"/>
      <c r="C855" s="11"/>
      <c r="D855" s="11"/>
      <c r="E855" s="11"/>
      <c r="F855" s="11"/>
      <c r="G855" s="11"/>
      <c r="H855" s="11"/>
    </row>
    <row r="856" spans="1:8" s="8" customFormat="1" ht="12.75">
      <c r="A856" s="126"/>
      <c r="B856" s="11"/>
      <c r="C856" s="11"/>
      <c r="D856" s="11"/>
      <c r="E856" s="11"/>
      <c r="F856" s="11"/>
      <c r="G856" s="11"/>
      <c r="H856" s="11"/>
    </row>
    <row r="857" spans="1:8" s="8" customFormat="1" ht="12.75">
      <c r="A857" s="126"/>
      <c r="B857" s="11"/>
      <c r="C857" s="11"/>
      <c r="D857" s="11"/>
      <c r="E857" s="11"/>
      <c r="F857" s="11"/>
      <c r="G857" s="11"/>
      <c r="H857" s="11"/>
    </row>
    <row r="858" spans="1:8" s="8" customFormat="1" ht="12.75">
      <c r="A858" s="126"/>
      <c r="B858" s="11"/>
      <c r="C858" s="11"/>
      <c r="D858" s="11"/>
      <c r="E858" s="11"/>
      <c r="F858" s="11"/>
      <c r="G858" s="11"/>
      <c r="H858" s="11"/>
    </row>
    <row r="859" spans="1:8" s="8" customFormat="1" ht="12.75">
      <c r="A859" s="126"/>
      <c r="B859" s="11"/>
      <c r="C859" s="11"/>
      <c r="D859" s="11"/>
      <c r="E859" s="11"/>
      <c r="F859" s="11"/>
      <c r="G859" s="11"/>
      <c r="H859" s="11"/>
    </row>
    <row r="860" spans="1:8" s="8" customFormat="1" ht="12.75">
      <c r="A860" s="126"/>
      <c r="B860" s="11"/>
      <c r="C860" s="11"/>
      <c r="D860" s="11"/>
      <c r="E860" s="11"/>
      <c r="F860" s="11"/>
      <c r="G860" s="11"/>
      <c r="H860" s="11"/>
    </row>
    <row r="861" spans="1:8" s="8" customFormat="1" ht="12.75">
      <c r="A861" s="126"/>
      <c r="B861" s="11"/>
      <c r="C861" s="11"/>
      <c r="D861" s="11"/>
      <c r="E861" s="11"/>
      <c r="F861" s="11"/>
      <c r="G861" s="11"/>
      <c r="H861" s="11"/>
    </row>
    <row r="862" spans="1:8" s="8" customFormat="1" ht="12.75">
      <c r="A862" s="126"/>
      <c r="B862" s="11"/>
      <c r="C862" s="11"/>
      <c r="D862" s="11"/>
      <c r="E862" s="11"/>
      <c r="F862" s="11"/>
      <c r="G862" s="11"/>
      <c r="H862" s="11"/>
    </row>
    <row r="863" spans="1:8" s="8" customFormat="1" ht="12.75">
      <c r="A863" s="126"/>
      <c r="B863" s="11"/>
      <c r="C863" s="11"/>
      <c r="D863" s="11"/>
      <c r="E863" s="11"/>
      <c r="F863" s="11"/>
      <c r="G863" s="11"/>
      <c r="H863" s="11"/>
    </row>
    <row r="864" spans="1:8" s="8" customFormat="1" ht="12.75">
      <c r="A864" s="126"/>
      <c r="B864" s="11"/>
      <c r="C864" s="11"/>
      <c r="D864" s="11"/>
      <c r="E864" s="11"/>
      <c r="F864" s="11"/>
      <c r="G864" s="11"/>
      <c r="H864" s="11"/>
    </row>
    <row r="865" spans="1:8" s="8" customFormat="1" ht="12.75">
      <c r="A865" s="126"/>
      <c r="B865" s="11"/>
      <c r="C865" s="11"/>
      <c r="D865" s="11"/>
      <c r="E865" s="11"/>
      <c r="F865" s="11"/>
      <c r="G865" s="11"/>
      <c r="H865" s="11"/>
    </row>
    <row r="866" spans="1:8" s="8" customFormat="1" ht="12.75">
      <c r="A866" s="126"/>
      <c r="B866" s="11"/>
      <c r="C866" s="11"/>
      <c r="D866" s="11"/>
      <c r="E866" s="11"/>
      <c r="F866" s="11"/>
      <c r="G866" s="11"/>
      <c r="H866" s="11"/>
    </row>
    <row r="867" spans="1:8" s="8" customFormat="1" ht="12.75">
      <c r="A867" s="126"/>
      <c r="B867" s="11"/>
      <c r="C867" s="11"/>
      <c r="D867" s="11"/>
      <c r="E867" s="11"/>
      <c r="F867" s="11"/>
      <c r="G867" s="11"/>
      <c r="H867" s="11"/>
    </row>
    <row r="868" spans="1:8" s="8" customFormat="1" ht="12.75">
      <c r="A868" s="126"/>
      <c r="B868" s="11"/>
      <c r="C868" s="11"/>
      <c r="D868" s="11"/>
      <c r="E868" s="11"/>
      <c r="F868" s="11"/>
      <c r="G868" s="11"/>
      <c r="H868" s="11"/>
    </row>
    <row r="869" spans="1:8" s="8" customFormat="1" ht="12.75">
      <c r="A869" s="126"/>
      <c r="B869" s="11"/>
      <c r="C869" s="11"/>
      <c r="D869" s="11"/>
      <c r="E869" s="11"/>
      <c r="F869" s="11"/>
      <c r="G869" s="11"/>
      <c r="H869" s="11"/>
    </row>
    <row r="870" spans="1:8" s="8" customFormat="1" ht="12.75">
      <c r="A870" s="126"/>
      <c r="B870" s="11"/>
      <c r="C870" s="11"/>
      <c r="D870" s="11"/>
      <c r="E870" s="11"/>
      <c r="F870" s="11"/>
      <c r="G870" s="11"/>
      <c r="H870" s="11"/>
    </row>
    <row r="871" spans="1:3" s="8" customFormat="1" ht="18">
      <c r="A871" s="16" t="s">
        <v>126</v>
      </c>
      <c r="B871" s="131"/>
      <c r="C871" s="131"/>
    </row>
    <row r="872" spans="1:3" s="8" customFormat="1" ht="12.75">
      <c r="A872" s="234" t="s">
        <v>26</v>
      </c>
      <c r="B872" s="131"/>
      <c r="C872" s="131"/>
    </row>
    <row r="873" spans="1:3" s="8" customFormat="1" ht="12.75">
      <c r="A873" s="234" t="s">
        <v>106</v>
      </c>
      <c r="B873" s="131"/>
      <c r="C873" s="131"/>
    </row>
    <row r="874" spans="1:3" s="8" customFormat="1" ht="13.5" thickBot="1">
      <c r="A874" s="234"/>
      <c r="B874" s="131"/>
      <c r="C874" s="131"/>
    </row>
    <row r="875" spans="1:9" s="100" customFormat="1" ht="76.5" customHeight="1">
      <c r="A875" s="520"/>
      <c r="B875" s="413" t="s">
        <v>268</v>
      </c>
      <c r="C875" s="546" t="s">
        <v>324</v>
      </c>
      <c r="D875" s="546" t="s">
        <v>252</v>
      </c>
      <c r="E875" s="548" t="s">
        <v>325</v>
      </c>
      <c r="F875" s="549" t="s">
        <v>113</v>
      </c>
      <c r="G875" s="549" t="s">
        <v>242</v>
      </c>
      <c r="H875" s="549" t="s">
        <v>120</v>
      </c>
      <c r="I875" s="570" t="s">
        <v>213</v>
      </c>
    </row>
    <row r="876" spans="1:9" s="8" customFormat="1" ht="12.75">
      <c r="A876" s="417" t="s">
        <v>430</v>
      </c>
      <c r="B876" s="521" t="str">
        <f>'Wksht 1. Data Inputs'!B15</f>
        <v>potential 2003 waste comp</v>
      </c>
      <c r="C876" s="557"/>
      <c r="D876" s="557"/>
      <c r="E876" s="557"/>
      <c r="F876" s="550"/>
      <c r="G876" s="550"/>
      <c r="H876" s="547"/>
      <c r="I876" s="545"/>
    </row>
    <row r="877" spans="1:9" s="8" customFormat="1" ht="13.5" thickBot="1">
      <c r="A877" s="68" t="s">
        <v>160</v>
      </c>
      <c r="B877" s="67">
        <f>'Wksht 1. Data Inputs'!B69</f>
        <v>0</v>
      </c>
      <c r="C877" s="104">
        <f>B877*'Wksht 3. Conversion Factors'!B85</f>
        <v>0</v>
      </c>
      <c r="D877" s="104" t="e">
        <f>B877*('Wksht 4. Calculations'!$B$15*'Wksht 3. Conversion Factors'!E85+'Wksht 4. Calculations'!$B$16*'Wksht 3. Conversion Factors'!F85)</f>
        <v>#DIV/0!</v>
      </c>
      <c r="E877" s="104" t="e">
        <f>C877-D877</f>
        <v>#DIV/0!</v>
      </c>
      <c r="F877" s="67" t="e">
        <f>E877/'Wksht 3. Conversion Factors'!B105</f>
        <v>#DIV/0!</v>
      </c>
      <c r="G877" s="67" t="e">
        <f>E877/'Wksht 3. Conversion Factors'!B104</f>
        <v>#DIV/0!</v>
      </c>
      <c r="H877" s="67" t="e">
        <f>G877/'Wksht 3. Conversion Factors'!B101</f>
        <v>#DIV/0!</v>
      </c>
      <c r="I877" s="246" t="e">
        <f>H877*'Wksht 3. Conversion Factors'!B107</f>
        <v>#DIV/0!</v>
      </c>
    </row>
    <row r="878" spans="1:8" s="8" customFormat="1" ht="12.75">
      <c r="A878" s="78"/>
      <c r="B878" s="79"/>
      <c r="C878" s="80"/>
      <c r="D878" s="80"/>
      <c r="E878" s="80"/>
      <c r="F878" s="80"/>
      <c r="G878" s="80"/>
      <c r="H878" s="79"/>
    </row>
    <row r="879" spans="1:8" s="8" customFormat="1" ht="12.75">
      <c r="A879" s="217" t="s">
        <v>98</v>
      </c>
      <c r="B879" s="79"/>
      <c r="C879" s="80"/>
      <c r="D879" s="80"/>
      <c r="E879" s="80"/>
      <c r="F879" s="80"/>
      <c r="G879" s="80"/>
      <c r="H879" s="79"/>
    </row>
    <row r="880" spans="1:3" s="8" customFormat="1" ht="12.75">
      <c r="A880" s="19" t="str">
        <f>'Wksht 1. Data Inputs'!B14</f>
        <v>PA Department of Environmental Protection</v>
      </c>
      <c r="C880" s="131"/>
    </row>
    <row r="881" s="8" customFormat="1" ht="12.75">
      <c r="A881" s="33" t="str">
        <f>'Wksht 3. Conversion Factors'!B91</f>
        <v>U.S. EPA. "WARM Online, Version 8." (June 2006). 26 June 06 http://yosemite.epa.gov/oar/globalwarming.nsf/WARM.</v>
      </c>
    </row>
    <row r="882" spans="1:8" s="8" customFormat="1" ht="25.5" customHeight="1">
      <c r="A882" s="585" t="str">
        <f>'Wksht 3. Conversion Factors'!B92</f>
        <v>U.S. EPA. "Solid Waste Management and Greenhouse Gases: A Life-Cycle Assessment of Emissions and Sinks. 2nd edition." EPA 530-R-02-006. 11 Nov 2005 http://www.epa.gov/epaoswer/non-hw/muncpl/ghg/ghg.htm. </v>
      </c>
      <c r="B882" s="571"/>
      <c r="C882" s="571"/>
      <c r="D882" s="571"/>
      <c r="E882" s="571"/>
      <c r="F882" s="571"/>
      <c r="G882" s="571"/>
      <c r="H882" s="571"/>
    </row>
    <row r="883" spans="1:8" s="8" customFormat="1" ht="12.75">
      <c r="A883" s="551" t="str">
        <f>'Wksht 3. Conversion Factors'!D101</f>
        <v>Federal Highway Administration (FHWA). "Table VM-1: Annual Vehicle Distance Traveled in Miles and Related Data- 2004".  (2006) 1 Sept 06 http://www.fhwa.dot.gov/policy/ohim/hs04/pdf/vm1.pdf.</v>
      </c>
      <c r="B883" s="571"/>
      <c r="C883" s="571"/>
      <c r="D883" s="571"/>
      <c r="E883" s="571"/>
      <c r="F883" s="571"/>
      <c r="G883" s="571"/>
      <c r="H883" s="571"/>
    </row>
    <row r="884" spans="1:8" ht="26.25" customHeight="1">
      <c r="A884" s="551" t="str">
        <f>'Wksht 3. Conversion Factors'!D102</f>
        <v>Energy Information Adminstration (EIA).  "Annual Energy Review 2005: Table A3: Approximate Heat Content of Petroleum Consumption, Selected Years, 1949-2005."  (2006). 1 Sept 06 http://www.eia.doe.gov/emeu/aer/pdf/pages/sec13_3.pdf.  </v>
      </c>
      <c r="B884" s="571"/>
      <c r="C884" s="571"/>
      <c r="D884" s="571"/>
      <c r="E884" s="571"/>
      <c r="F884" s="571"/>
      <c r="G884" s="571"/>
      <c r="H884" s="571"/>
    </row>
    <row r="885" spans="1:8" s="8" customFormat="1" ht="41.25" customHeight="1">
      <c r="A885" s="552" t="str">
        <f>'Wksht 3. Conversion Factors'!D105</f>
        <v>U.S. EPA and ICF Consulting Group. "Waste Management and Energy Savings: Benefits by the Numbers."  (2005). 18 Jan 06 http://yosemite.epa.gov/OAR/globalwarming.nsf/UniqueKeyLookup/TMAL6GDR3K/$File/Energy%20Savings.pdf. Another source: Energy Information Adminstration (EIA).  "Annual Energy Review 2005: Table A2: Approximate Heat Content of Petroleum Production, Imports, and Exports, Selected Years, 1949-2005." (2006). 1 Sept 06  http://www.eia.doe.gov/emeu/aer/pdf/pages/sec13_2.pdf.  </v>
      </c>
      <c r="B885" s="553"/>
      <c r="C885" s="553"/>
      <c r="D885" s="553"/>
      <c r="E885" s="553"/>
      <c r="F885" s="553"/>
      <c r="G885" s="553"/>
      <c r="H885" s="553"/>
    </row>
    <row r="886" spans="1:8" s="8" customFormat="1" ht="12.75" customHeight="1">
      <c r="A886" s="604" t="str">
        <f>'Wksht 3. Conversion Factors'!D107</f>
        <v>U.S. Climate Technology Cooperation Gateway. "Greenhouse Gas Equivalencies Calculator." 18 Jan 06 http://www.usctcgateway.net/tool/.</v>
      </c>
      <c r="B886" s="571"/>
      <c r="C886" s="571"/>
      <c r="D886" s="571"/>
      <c r="E886" s="571"/>
      <c r="F886" s="571"/>
      <c r="G886" s="571"/>
      <c r="H886" s="571"/>
    </row>
    <row r="887" spans="1:8" s="8" customFormat="1" ht="12.75">
      <c r="A887" s="217"/>
      <c r="E887" s="4"/>
      <c r="F887" s="4"/>
      <c r="G887" s="4"/>
      <c r="H887" s="4"/>
    </row>
    <row r="888" spans="1:4" s="8" customFormat="1" ht="18">
      <c r="A888" s="16" t="s">
        <v>127</v>
      </c>
      <c r="B888" s="131"/>
      <c r="C888" s="131"/>
      <c r="D888" s="131"/>
    </row>
    <row r="889" spans="1:4" s="8" customFormat="1" ht="12.75">
      <c r="A889" s="234" t="s">
        <v>26</v>
      </c>
      <c r="B889" s="131"/>
      <c r="C889" s="131"/>
      <c r="D889" s="131"/>
    </row>
    <row r="890" spans="1:4" s="8" customFormat="1" ht="12.75">
      <c r="A890" s="234" t="s">
        <v>106</v>
      </c>
      <c r="B890" s="131"/>
      <c r="C890" s="131"/>
      <c r="D890" s="131"/>
    </row>
    <row r="891" spans="1:4" s="8" customFormat="1" ht="13.5" thickBot="1">
      <c r="A891" s="237"/>
      <c r="B891" s="131"/>
      <c r="C891" s="131"/>
      <c r="D891" s="131"/>
    </row>
    <row r="892" spans="1:9" s="8" customFormat="1" ht="66" customHeight="1">
      <c r="A892" s="522"/>
      <c r="B892" s="523" t="s">
        <v>435</v>
      </c>
      <c r="C892" s="546" t="s">
        <v>251</v>
      </c>
      <c r="D892" s="546" t="s">
        <v>287</v>
      </c>
      <c r="E892" s="548" t="s">
        <v>288</v>
      </c>
      <c r="F892" s="549" t="s">
        <v>113</v>
      </c>
      <c r="G892" s="549" t="s">
        <v>242</v>
      </c>
      <c r="H892" s="549" t="s">
        <v>120</v>
      </c>
      <c r="I892" s="570" t="s">
        <v>213</v>
      </c>
    </row>
    <row r="893" spans="1:9" s="8" customFormat="1" ht="12.75">
      <c r="A893" s="417" t="s">
        <v>430</v>
      </c>
      <c r="B893" s="521" t="str">
        <f>'Wksht 1. Data Inputs'!B15</f>
        <v>potential 2003 waste comp</v>
      </c>
      <c r="C893" s="547"/>
      <c r="D893" s="547"/>
      <c r="E893" s="547"/>
      <c r="F893" s="550"/>
      <c r="G893" s="550"/>
      <c r="H893" s="547"/>
      <c r="I893" s="545"/>
    </row>
    <row r="894" spans="1:9" s="8" customFormat="1" ht="13.5" thickBot="1">
      <c r="A894" s="68" t="s">
        <v>202</v>
      </c>
      <c r="B894" s="67">
        <f>'Wksht 1. Data Inputs'!B30</f>
        <v>0</v>
      </c>
      <c r="C894" s="104">
        <f>B894*'Wksht 3. Conversion Factors'!C85</f>
        <v>0</v>
      </c>
      <c r="D894" s="104" t="e">
        <f>B894*('Wksht 4. Calculations'!$B$15*'Wksht 3. Conversion Factors'!E85+'Wksht 4. Calculations'!$B$16*'Wksht 3. Conversion Factors'!F85)</f>
        <v>#DIV/0!</v>
      </c>
      <c r="E894" s="104" t="e">
        <f>C894-D894</f>
        <v>#DIV/0!</v>
      </c>
      <c r="F894" s="67" t="e">
        <f>E894/'Wksht 3. Conversion Factors'!B105</f>
        <v>#DIV/0!</v>
      </c>
      <c r="G894" s="67" t="e">
        <f>E894/'Wksht 3. Conversion Factors'!B104</f>
        <v>#DIV/0!</v>
      </c>
      <c r="H894" s="67" t="e">
        <f>G894/'Wksht 3. Conversion Factors'!B101</f>
        <v>#DIV/0!</v>
      </c>
      <c r="I894" s="246" t="e">
        <f>H894*'Wksht 3. Conversion Factors'!B107</f>
        <v>#DIV/0!</v>
      </c>
    </row>
    <row r="895" spans="1:4" s="8" customFormat="1" ht="12.75">
      <c r="A895" s="226"/>
      <c r="B895" s="131"/>
      <c r="C895" s="131"/>
      <c r="D895" s="131"/>
    </row>
    <row r="896" spans="1:4" s="8" customFormat="1" ht="12.75">
      <c r="A896" s="217" t="s">
        <v>98</v>
      </c>
      <c r="B896" s="131"/>
      <c r="C896" s="131"/>
      <c r="D896" s="131"/>
    </row>
    <row r="897" spans="1:4" s="8" customFormat="1" ht="12.75">
      <c r="A897" s="19" t="str">
        <f>'Wksht 1. Data Inputs'!B14</f>
        <v>PA Department of Environmental Protection</v>
      </c>
      <c r="C897" s="131"/>
      <c r="D897" s="131"/>
    </row>
    <row r="898" s="8" customFormat="1" ht="12.75">
      <c r="A898" s="33" t="str">
        <f>'Wksht 3. Conversion Factors'!B91</f>
        <v>U.S. EPA. "WARM Online, Version 8." (June 2006). 26 June 06 http://yosemite.epa.gov/oar/globalwarming.nsf/WARM.</v>
      </c>
    </row>
    <row r="899" spans="1:8" s="8" customFormat="1" ht="24.75" customHeight="1">
      <c r="A899" s="585" t="str">
        <f>'Wksht 3. Conversion Factors'!B92</f>
        <v>U.S. EPA. "Solid Waste Management and Greenhouse Gases: A Life-Cycle Assessment of Emissions and Sinks. 2nd edition." EPA 530-R-02-006. 11 Nov 2005 http://www.epa.gov/epaoswer/non-hw/muncpl/ghg/ghg.htm. </v>
      </c>
      <c r="B899" s="571"/>
      <c r="C899" s="571"/>
      <c r="D899" s="571"/>
      <c r="E899" s="571"/>
      <c r="F899" s="571"/>
      <c r="G899" s="571"/>
      <c r="H899" s="571"/>
    </row>
    <row r="900" spans="1:8" s="8" customFormat="1" ht="12.75">
      <c r="A900" s="551" t="str">
        <f>'Wksht 3. Conversion Factors'!D101</f>
        <v>Federal Highway Administration (FHWA). "Table VM-1: Annual Vehicle Distance Traveled in Miles and Related Data- 2004".  (2006) 1 Sept 06 http://www.fhwa.dot.gov/policy/ohim/hs04/pdf/vm1.pdf.</v>
      </c>
      <c r="B900" s="571"/>
      <c r="C900" s="571"/>
      <c r="D900" s="571"/>
      <c r="E900" s="571"/>
      <c r="F900" s="571"/>
      <c r="G900" s="571"/>
      <c r="H900" s="571"/>
    </row>
    <row r="901" spans="1:8" ht="27.75" customHeight="1">
      <c r="A901" s="551" t="str">
        <f>'Wksht 3. Conversion Factors'!D102</f>
        <v>Energy Information Adminstration (EIA).  "Annual Energy Review 2005: Table A3: Approximate Heat Content of Petroleum Consumption, Selected Years, 1949-2005."  (2006). 1 Sept 06 http://www.eia.doe.gov/emeu/aer/pdf/pages/sec13_3.pdf.  </v>
      </c>
      <c r="B901" s="571"/>
      <c r="C901" s="571"/>
      <c r="D901" s="571"/>
      <c r="E901" s="571"/>
      <c r="F901" s="571"/>
      <c r="G901" s="571"/>
      <c r="H901" s="571"/>
    </row>
    <row r="902" spans="1:8" s="8" customFormat="1" ht="40.5" customHeight="1">
      <c r="A902" s="552" t="str">
        <f>'Wksht 3. Conversion Factors'!D105</f>
        <v>U.S. EPA and ICF Consulting Group. "Waste Management and Energy Savings: Benefits by the Numbers."  (2005). 18 Jan 06 http://yosemite.epa.gov/OAR/globalwarming.nsf/UniqueKeyLookup/TMAL6GDR3K/$File/Energy%20Savings.pdf. Another source: Energy Information Adminstration (EIA).  "Annual Energy Review 2005: Table A2: Approximate Heat Content of Petroleum Production, Imports, and Exports, Selected Years, 1949-2005." (2006). 1 Sept 06  http://www.eia.doe.gov/emeu/aer/pdf/pages/sec13_2.pdf.  </v>
      </c>
      <c r="B902" s="553"/>
      <c r="C902" s="553"/>
      <c r="D902" s="553"/>
      <c r="E902" s="553"/>
      <c r="F902" s="553"/>
      <c r="G902" s="553"/>
      <c r="H902" s="553"/>
    </row>
    <row r="903" spans="1:8" s="8" customFormat="1" ht="12.75">
      <c r="A903" s="604" t="str">
        <f>'Wksht 3. Conversion Factors'!D107</f>
        <v>U.S. Climate Technology Cooperation Gateway. "Greenhouse Gas Equivalencies Calculator." 18 Jan 06 http://www.usctcgateway.net/tool/.</v>
      </c>
      <c r="B903" s="571"/>
      <c r="C903" s="571"/>
      <c r="D903" s="571"/>
      <c r="E903" s="571"/>
      <c r="F903" s="571"/>
      <c r="G903" s="571"/>
      <c r="H903" s="571"/>
    </row>
    <row r="904" spans="1:8" s="8" customFormat="1" ht="12.75">
      <c r="A904" s="226"/>
      <c r="B904" s="116"/>
      <c r="C904" s="100"/>
      <c r="D904" s="100"/>
      <c r="E904" s="100"/>
      <c r="F904" s="100"/>
      <c r="G904" s="100"/>
      <c r="H904" s="10"/>
    </row>
    <row r="905" spans="1:8" s="8" customFormat="1" ht="18">
      <c r="A905" s="238" t="s">
        <v>128</v>
      </c>
      <c r="B905" s="33"/>
      <c r="H905" s="4"/>
    </row>
    <row r="906" spans="1:8" s="8" customFormat="1" ht="12.75" customHeight="1" thickBot="1">
      <c r="A906" s="224"/>
      <c r="B906" s="33"/>
      <c r="H906" s="4"/>
    </row>
    <row r="907" spans="1:6" s="8" customFormat="1" ht="83.25" customHeight="1">
      <c r="A907" s="416"/>
      <c r="B907" s="413" t="s">
        <v>268</v>
      </c>
      <c r="C907" s="555" t="s">
        <v>328</v>
      </c>
      <c r="D907" s="555" t="s">
        <v>326</v>
      </c>
      <c r="E907" s="555" t="s">
        <v>327</v>
      </c>
      <c r="F907" s="605" t="s">
        <v>329</v>
      </c>
    </row>
    <row r="908" spans="1:6" s="6" customFormat="1" ht="12.75">
      <c r="A908" s="417" t="s">
        <v>430</v>
      </c>
      <c r="B908" s="414" t="str">
        <f>'Wksht 1. Data Inputs'!B15</f>
        <v>potential 2003 waste comp</v>
      </c>
      <c r="C908" s="556"/>
      <c r="D908" s="556"/>
      <c r="E908" s="556"/>
      <c r="F908" s="606"/>
    </row>
    <row r="909" spans="1:6" s="6" customFormat="1" ht="13.5" thickBot="1">
      <c r="A909" s="225" t="s">
        <v>207</v>
      </c>
      <c r="B909" s="83">
        <f>C16+C33+C45</f>
        <v>0</v>
      </c>
      <c r="C909" s="63">
        <f>B909*'Wksht 3. Conversion Factors'!B113/2000</f>
        <v>0</v>
      </c>
      <c r="D909" s="63">
        <f>B909*'Wksht 3. Conversion Factors'!B114/2000</f>
        <v>0</v>
      </c>
      <c r="E909" s="63">
        <f>B909*'Wksht 3. Conversion Factors'!B115/2000</f>
        <v>0</v>
      </c>
      <c r="F909" s="415">
        <f>C909+D909+E909</f>
        <v>0</v>
      </c>
    </row>
    <row r="911" spans="1:6" s="6" customFormat="1" ht="12.75">
      <c r="A911" s="217" t="s">
        <v>438</v>
      </c>
      <c r="B911" s="82"/>
      <c r="C911" s="81"/>
      <c r="D911" s="81"/>
      <c r="E911" s="81"/>
      <c r="F911" s="81"/>
    </row>
    <row r="912" spans="1:8" s="8" customFormat="1" ht="12.75">
      <c r="A912" s="19" t="str">
        <f>'Wksht 1. Data Inputs'!B14</f>
        <v>PA Department of Environmental Protection</v>
      </c>
      <c r="E912" s="10"/>
      <c r="F912" s="10"/>
      <c r="H912" s="4"/>
    </row>
    <row r="913" spans="1:8" s="9" customFormat="1" ht="12.75">
      <c r="A913" s="554" t="str">
        <f>'Wksht 3. Conversion Factors'!B118</f>
        <v>Steel Recycling Institute.  "Fact Sheet: What are other benefits of steel recycling?" 18 Jan 2006 http://www.recycle-steel.org/PDFs/brochures/buyrec.pdf. </v>
      </c>
      <c r="B913" s="571"/>
      <c r="C913" s="571"/>
      <c r="D913" s="571"/>
      <c r="E913" s="571"/>
      <c r="F913" s="571"/>
      <c r="G913" s="13"/>
      <c r="H913" s="13"/>
    </row>
    <row r="914" spans="1:6" ht="12.75">
      <c r="A914" s="554" t="str">
        <f>'Wksht 3. Conversion Factors'!B119</f>
        <v>Personal communication with Steel Recycling Institute.  January 2006.</v>
      </c>
      <c r="B914" s="571"/>
      <c r="C914" s="571"/>
      <c r="D914" s="571"/>
      <c r="E914" s="571"/>
      <c r="F914" s="571"/>
    </row>
    <row r="915" spans="1:6" ht="12.75">
      <c r="A915" s="100"/>
      <c r="B915" s="11"/>
      <c r="C915" s="11"/>
      <c r="D915" s="11"/>
      <c r="E915" s="11"/>
      <c r="F915" s="11"/>
    </row>
    <row r="916" spans="1:8" s="8" customFormat="1" ht="18">
      <c r="A916" s="238" t="s">
        <v>129</v>
      </c>
      <c r="B916" s="33"/>
      <c r="H916" s="4"/>
    </row>
    <row r="917" spans="1:8" s="8" customFormat="1" ht="12.75" customHeight="1" thickBot="1">
      <c r="A917" s="224"/>
      <c r="B917" s="33"/>
      <c r="H917" s="4"/>
    </row>
    <row r="918" spans="1:9" s="8" customFormat="1" ht="40.5" customHeight="1">
      <c r="A918" s="416"/>
      <c r="B918" s="53" t="s">
        <v>435</v>
      </c>
      <c r="C918" s="555" t="s">
        <v>464</v>
      </c>
      <c r="D918" s="555" t="s">
        <v>465</v>
      </c>
      <c r="E918" s="413" t="s">
        <v>187</v>
      </c>
      <c r="F918" s="413" t="s">
        <v>188</v>
      </c>
      <c r="G918" s="555" t="s">
        <v>463</v>
      </c>
      <c r="H918" s="555" t="s">
        <v>428</v>
      </c>
      <c r="I918" s="605" t="s">
        <v>427</v>
      </c>
    </row>
    <row r="919" spans="1:9" s="6" customFormat="1" ht="12.75">
      <c r="A919" s="417" t="s">
        <v>430</v>
      </c>
      <c r="B919" s="414" t="str">
        <f>'Wksht 1. Data Inputs'!B15</f>
        <v>potential 2003 waste comp</v>
      </c>
      <c r="C919" s="556"/>
      <c r="D919" s="556"/>
      <c r="E919" s="530" t="s">
        <v>186</v>
      </c>
      <c r="F919" s="530" t="s">
        <v>186</v>
      </c>
      <c r="G919" s="556"/>
      <c r="H919" s="556"/>
      <c r="I919" s="606"/>
    </row>
    <row r="920" spans="1:9" s="6" customFormat="1" ht="12.75">
      <c r="A920" s="220" t="s">
        <v>207</v>
      </c>
      <c r="B920" s="84">
        <f>B16+B33+B45</f>
        <v>416801</v>
      </c>
      <c r="C920" s="453">
        <f>B920*('Wksht 3. Conversion Factors'!B113/2000)</f>
        <v>25008.059999999998</v>
      </c>
      <c r="D920" s="453">
        <f>B920*('Wksht 3. Conversion Factors'!B114/2000)</f>
        <v>521001.25</v>
      </c>
      <c r="E920" s="453">
        <f>B920*('Wksht 3. Conversion Factors'!B115/2000)</f>
        <v>291760.69999999995</v>
      </c>
      <c r="F920" s="455"/>
      <c r="G920" s="456"/>
      <c r="H920" s="457"/>
      <c r="I920" s="454">
        <f>SUM(C920:E920)</f>
        <v>837770.01</v>
      </c>
    </row>
    <row r="921" spans="1:9" ht="12.75">
      <c r="A921" s="498" t="s">
        <v>375</v>
      </c>
      <c r="B921" s="529">
        <f>B17</f>
        <v>234629</v>
      </c>
      <c r="C921" s="499">
        <f>B921*('Wksht 3. Conversion Factors'!D113/2000)</f>
        <v>44579.51</v>
      </c>
      <c r="D921" s="268"/>
      <c r="E921" s="500"/>
      <c r="F921" s="499">
        <f>B921*('Wksht 3. Conversion Factors'!D114/2000)</f>
        <v>152508.85</v>
      </c>
      <c r="G921" s="499">
        <f>B921*('Wksht 3. Conversion Factors'!D115/2000)</f>
        <v>48098.945</v>
      </c>
      <c r="H921" s="499">
        <f>B921*('Wksht 3. Conversion Factors'!D116/2000)</f>
        <v>18770.32</v>
      </c>
      <c r="I921" s="501">
        <f>SUM(C921:H921)</f>
        <v>263957.625</v>
      </c>
    </row>
    <row r="922" spans="1:9" ht="13.5" thickBot="1">
      <c r="A922" s="68" t="s">
        <v>398</v>
      </c>
      <c r="B922" s="496">
        <f aca="true" t="shared" si="25" ref="B922:I922">SUM(B919:B921)</f>
        <v>651430</v>
      </c>
      <c r="C922" s="496">
        <f t="shared" si="25"/>
        <v>69587.57</v>
      </c>
      <c r="D922" s="496">
        <f t="shared" si="25"/>
        <v>521001.25</v>
      </c>
      <c r="E922" s="496">
        <f t="shared" si="25"/>
        <v>291760.69999999995</v>
      </c>
      <c r="F922" s="496">
        <f t="shared" si="25"/>
        <v>152508.85</v>
      </c>
      <c r="G922" s="496">
        <f t="shared" si="25"/>
        <v>48098.945</v>
      </c>
      <c r="H922" s="496">
        <f t="shared" si="25"/>
        <v>18770.32</v>
      </c>
      <c r="I922" s="497">
        <f t="shared" si="25"/>
        <v>1101727.635</v>
      </c>
    </row>
    <row r="924" spans="1:6" s="6" customFormat="1" ht="12.75">
      <c r="A924" s="217" t="s">
        <v>438</v>
      </c>
      <c r="B924" s="82"/>
      <c r="C924" s="81"/>
      <c r="D924" s="81"/>
      <c r="E924" s="81"/>
      <c r="F924" s="81"/>
    </row>
    <row r="925" spans="1:8" s="8" customFormat="1" ht="12.75">
      <c r="A925" s="19" t="str">
        <f>'Wksht 1. Data Inputs'!B14</f>
        <v>PA Department of Environmental Protection</v>
      </c>
      <c r="E925" s="10"/>
      <c r="F925" s="10"/>
      <c r="H925" s="4"/>
    </row>
    <row r="926" spans="1:8" s="9" customFormat="1" ht="12.75">
      <c r="A926" s="554" t="str">
        <f>'Wksht 3. Conversion Factors'!B118</f>
        <v>Steel Recycling Institute.  "Fact Sheet: What are other benefits of steel recycling?" 18 Jan 2006 http://www.recycle-steel.org/PDFs/brochures/buyrec.pdf. </v>
      </c>
      <c r="B926" s="571"/>
      <c r="C926" s="571"/>
      <c r="D926" s="571"/>
      <c r="E926" s="571"/>
      <c r="F926" s="571"/>
      <c r="G926" s="13"/>
      <c r="H926" s="13"/>
    </row>
    <row r="927" spans="1:8" s="9" customFormat="1" ht="12.75">
      <c r="A927" s="554" t="str">
        <f>'Wksht 3. Conversion Factors'!B119</f>
        <v>Personal communication with Steel Recycling Institute.  January 2006.</v>
      </c>
      <c r="B927" s="571"/>
      <c r="C927" s="571"/>
      <c r="D927" s="571"/>
      <c r="E927" s="571"/>
      <c r="F927" s="571"/>
      <c r="G927" s="13"/>
      <c r="H927" s="13"/>
    </row>
    <row r="928" spans="1:8" s="9" customFormat="1" ht="12.75">
      <c r="A928" s="554" t="str">
        <f>'Wksht 3. Conversion Factors'!B120</f>
        <v>Glass Packaging Institute. "Glass Recycling and the Environment" (2005). 14 Aug 2006 http://www.gpi.org/recycling/environment/.</v>
      </c>
      <c r="B928" s="571"/>
      <c r="C928" s="571"/>
      <c r="D928" s="571"/>
      <c r="E928" s="571"/>
      <c r="F928" s="571"/>
      <c r="G928" s="13"/>
      <c r="H928" s="13"/>
    </row>
    <row r="929" spans="1:8" s="9" customFormat="1" ht="12.75">
      <c r="A929" s="100"/>
      <c r="B929" s="11"/>
      <c r="C929" s="11"/>
      <c r="D929" s="11"/>
      <c r="E929" s="11"/>
      <c r="F929" s="11"/>
      <c r="G929" s="13"/>
      <c r="H929" s="13"/>
    </row>
    <row r="930" spans="1:8" s="9" customFormat="1" ht="12.75">
      <c r="A930" s="100"/>
      <c r="B930" s="11"/>
      <c r="C930" s="11"/>
      <c r="D930" s="11"/>
      <c r="E930" s="11"/>
      <c r="F930" s="11"/>
      <c r="G930" s="13"/>
      <c r="H930" s="13"/>
    </row>
    <row r="931" spans="1:8" s="9" customFormat="1" ht="18">
      <c r="A931" s="418" t="s">
        <v>135</v>
      </c>
      <c r="B931" s="11"/>
      <c r="C931" s="11"/>
      <c r="D931" s="11"/>
      <c r="E931" s="11"/>
      <c r="F931" s="11"/>
      <c r="G931" s="13"/>
      <c r="H931" s="13"/>
    </row>
    <row r="932" spans="1:8" s="9" customFormat="1" ht="13.5" thickBot="1">
      <c r="A932" s="100"/>
      <c r="B932" s="11"/>
      <c r="C932" s="11"/>
      <c r="D932" s="11"/>
      <c r="E932" s="11"/>
      <c r="F932" s="11"/>
      <c r="G932" s="13"/>
      <c r="H932" s="13"/>
    </row>
    <row r="933" spans="1:8" s="9" customFormat="1" ht="30" customHeight="1">
      <c r="A933" s="416"/>
      <c r="B933" s="53" t="s">
        <v>435</v>
      </c>
      <c r="C933" s="558" t="s">
        <v>136</v>
      </c>
      <c r="D933" s="11"/>
      <c r="E933" s="11"/>
      <c r="F933" s="11"/>
      <c r="G933" s="13"/>
      <c r="H933" s="13"/>
    </row>
    <row r="934" spans="1:8" s="9" customFormat="1" ht="12.75">
      <c r="A934" s="417" t="s">
        <v>430</v>
      </c>
      <c r="B934" s="414" t="str">
        <f>'Wksht 1. Data Inputs'!B15</f>
        <v>potential 2003 waste comp</v>
      </c>
      <c r="C934" s="602"/>
      <c r="D934" s="11"/>
      <c r="E934" s="11"/>
      <c r="F934" s="11"/>
      <c r="G934" s="13"/>
      <c r="H934" s="13"/>
    </row>
    <row r="935" spans="1:8" s="9" customFormat="1" ht="12.75">
      <c r="A935" s="480" t="s">
        <v>132</v>
      </c>
      <c r="B935" s="84">
        <f>B23+B25</f>
        <v>389263</v>
      </c>
      <c r="C935" s="454">
        <f>B935*('Wksht 3. Conversion Factors'!B125)</f>
        <v>20241676</v>
      </c>
      <c r="D935" s="11"/>
      <c r="E935" s="11"/>
      <c r="F935" s="11"/>
      <c r="G935" s="13"/>
      <c r="H935" s="13"/>
    </row>
    <row r="936" spans="1:8" s="9" customFormat="1" ht="28.5" customHeight="1">
      <c r="A936" s="480" t="s">
        <v>134</v>
      </c>
      <c r="B936" s="84">
        <f>B24+B26+B22+B21</f>
        <v>1378034</v>
      </c>
      <c r="C936" s="454">
        <f>B936*('Wksht 3. Conversion Factors'!B126)</f>
        <v>107486652</v>
      </c>
      <c r="D936" s="11"/>
      <c r="E936" s="11"/>
      <c r="F936" s="11"/>
      <c r="G936" s="13"/>
      <c r="H936" s="13"/>
    </row>
    <row r="937" spans="1:8" s="9" customFormat="1" ht="13.5" thickBot="1">
      <c r="A937" s="481" t="s">
        <v>398</v>
      </c>
      <c r="B937" s="83">
        <f>SUM(B935:B936)</f>
        <v>1767297</v>
      </c>
      <c r="C937" s="415">
        <f>SUM(C935:C936)</f>
        <v>127728328</v>
      </c>
      <c r="D937" s="11"/>
      <c r="E937" s="11"/>
      <c r="F937" s="11"/>
      <c r="G937" s="13"/>
      <c r="H937" s="13"/>
    </row>
    <row r="938" spans="1:8" s="9" customFormat="1" ht="12.75">
      <c r="A938" s="100"/>
      <c r="B938" s="11"/>
      <c r="C938" s="11"/>
      <c r="D938" s="11"/>
      <c r="E938" s="11"/>
      <c r="F938" s="11"/>
      <c r="G938" s="13"/>
      <c r="H938" s="13"/>
    </row>
    <row r="939" spans="1:8" s="9" customFormat="1" ht="12.75">
      <c r="A939" s="224" t="s">
        <v>438</v>
      </c>
      <c r="B939" s="82"/>
      <c r="C939" s="484"/>
      <c r="D939" s="484"/>
      <c r="E939" s="484"/>
      <c r="F939" s="484"/>
      <c r="G939" s="13"/>
      <c r="H939" s="13"/>
    </row>
    <row r="940" spans="1:8" s="9" customFormat="1" ht="12.75">
      <c r="A940" s="485" t="str">
        <f>'Wksht 1. Data Inputs'!B14</f>
        <v>PA Department of Environmental Protection</v>
      </c>
      <c r="B940" s="33"/>
      <c r="C940" s="33"/>
      <c r="D940" s="33"/>
      <c r="E940" s="30"/>
      <c r="F940" s="30"/>
      <c r="G940" s="13"/>
      <c r="H940" s="13"/>
    </row>
    <row r="941" spans="1:8" s="9" customFormat="1" ht="12.75">
      <c r="A941" s="585" t="str">
        <f>'Wksht 3. Conversion Factors'!B128</f>
        <v>U.S. Climate Technology Cooperation Gateway. "Greenhouse Gas Equivalencies Calculator." 31 Jul 06 http://www.usctcgateway.net/tool/.</v>
      </c>
      <c r="B941" s="582"/>
      <c r="C941" s="582"/>
      <c r="D941" s="582"/>
      <c r="E941" s="582"/>
      <c r="F941" s="582"/>
      <c r="G941" s="13"/>
      <c r="H941" s="13"/>
    </row>
    <row r="942" spans="1:8" s="9" customFormat="1" ht="12.75">
      <c r="A942" s="585" t="str">
        <f>'Wksht 3. Conversion Factors'!B129</f>
        <v>U.S. EPA. "WARM Online, Version 8." (June 2006). 26 June 06 http://yosemite.epa.gov/oar/globalwarming.nsf/WARM.</v>
      </c>
      <c r="B942" s="582"/>
      <c r="C942" s="582"/>
      <c r="D942" s="582"/>
      <c r="E942" s="582"/>
      <c r="F942" s="582"/>
      <c r="G942" s="13"/>
      <c r="H942" s="13"/>
    </row>
    <row r="943" spans="1:8" s="9" customFormat="1" ht="25.5" customHeight="1">
      <c r="A943" s="585" t="str">
        <f>'Wksht 3. Conversion Factors'!B130</f>
        <v>U.S. EPA. "Solid Waste Management and Greenhouse Gases: A Life-Cycle Assessment of Emissions and Sinks. 2nd edition." EPA 530-R-02-006. 11 Nov 2005 http://www.epa.gov/epaoswer/non-hw/muncpl/ghg/ghg.htm. </v>
      </c>
      <c r="B943" s="582"/>
      <c r="C943" s="582"/>
      <c r="D943" s="582"/>
      <c r="E943" s="582"/>
      <c r="F943" s="582"/>
      <c r="G943" s="13"/>
      <c r="H943" s="13"/>
    </row>
    <row r="944" spans="1:8" s="9" customFormat="1" ht="12.75">
      <c r="A944" s="100"/>
      <c r="B944" s="11"/>
      <c r="C944" s="11"/>
      <c r="D944" s="11"/>
      <c r="E944" s="11"/>
      <c r="F944" s="11"/>
      <c r="G944" s="13"/>
      <c r="H944" s="13"/>
    </row>
    <row r="945" spans="1:8" s="9" customFormat="1" ht="18">
      <c r="A945" s="418" t="s">
        <v>466</v>
      </c>
      <c r="B945" s="11"/>
      <c r="C945" s="11"/>
      <c r="D945" s="11"/>
      <c r="E945" s="11"/>
      <c r="F945" s="11"/>
      <c r="G945" s="13"/>
      <c r="H945" s="13"/>
    </row>
    <row r="946" spans="6:8" ht="16.5" thickBot="1">
      <c r="F946" s="459"/>
      <c r="G946" s="459"/>
      <c r="H946" s="26"/>
    </row>
    <row r="947" spans="1:3" ht="25.5">
      <c r="A947" s="416"/>
      <c r="B947" s="53" t="s">
        <v>435</v>
      </c>
      <c r="C947" s="517" t="s">
        <v>470</v>
      </c>
    </row>
    <row r="948" spans="1:3" ht="12.75">
      <c r="A948" s="417" t="s">
        <v>430</v>
      </c>
      <c r="B948" s="521" t="str">
        <f>'Wksht 1. Data Inputs'!B15</f>
        <v>potential 2003 waste comp</v>
      </c>
      <c r="C948" s="524" t="s">
        <v>471</v>
      </c>
    </row>
    <row r="949" spans="1:3" ht="13.5" thickBot="1">
      <c r="A949" s="225" t="s">
        <v>83</v>
      </c>
      <c r="B949" s="83">
        <f>SUM(B21:B26)+B44</f>
        <v>2201118</v>
      </c>
      <c r="C949" s="415">
        <f>B949*('Wksht 3. Conversion Factors'!B136)</f>
        <v>7263689.399999999</v>
      </c>
    </row>
    <row r="950" ht="15">
      <c r="A950" s="458"/>
    </row>
    <row r="951" ht="12.75">
      <c r="A951" s="217" t="s">
        <v>438</v>
      </c>
    </row>
    <row r="952" ht="12.75">
      <c r="A952" s="485" t="str">
        <f>'Wksht 1. Data Inputs'!B14</f>
        <v>PA Department of Environmental Protection</v>
      </c>
    </row>
    <row r="953" spans="1:6" ht="12.75">
      <c r="A953" s="554" t="str">
        <f>'Wksht 3. Conversion Factors'!B138</f>
        <v>Paper Industry Association Council (PIAC). "Paper &amp; the Environment" (2006).22 Mar 2006 www.paperrecycles.org/paper_environment/index.html.</v>
      </c>
      <c r="B953" s="571"/>
      <c r="C953" s="571"/>
      <c r="D953" s="571"/>
      <c r="E953" s="571"/>
      <c r="F953" s="571"/>
    </row>
    <row r="983" spans="1:8" s="33" customFormat="1" ht="12.75">
      <c r="A983" s="224"/>
      <c r="E983" s="30"/>
      <c r="F983" s="30"/>
      <c r="G983" s="30"/>
      <c r="H983" s="30"/>
    </row>
    <row r="984" spans="1:8" s="33" customFormat="1" ht="12.75">
      <c r="A984" s="224"/>
      <c r="E984" s="30"/>
      <c r="F984" s="30"/>
      <c r="G984" s="30"/>
      <c r="H984" s="30"/>
    </row>
    <row r="985" spans="1:8" s="33" customFormat="1" ht="12.75">
      <c r="A985" s="224"/>
      <c r="E985" s="30"/>
      <c r="F985" s="30"/>
      <c r="G985" s="30"/>
      <c r="H985" s="30"/>
    </row>
    <row r="986" spans="1:8" s="33" customFormat="1" ht="12.75">
      <c r="A986" s="224"/>
      <c r="E986" s="30"/>
      <c r="F986" s="30"/>
      <c r="G986" s="30"/>
      <c r="H986" s="30"/>
    </row>
    <row r="987" spans="1:8" s="33" customFormat="1" ht="12.75">
      <c r="A987" s="224"/>
      <c r="E987" s="30"/>
      <c r="F987" s="30"/>
      <c r="G987" s="30"/>
      <c r="H987" s="30"/>
    </row>
    <row r="988" spans="1:8" s="33" customFormat="1" ht="12.75">
      <c r="A988" s="224"/>
      <c r="E988" s="30"/>
      <c r="F988" s="30"/>
      <c r="G988" s="30"/>
      <c r="H988" s="30"/>
    </row>
    <row r="989" spans="1:8" s="33" customFormat="1" ht="12.75">
      <c r="A989" s="224"/>
      <c r="E989" s="30"/>
      <c r="F989" s="30"/>
      <c r="G989" s="30"/>
      <c r="H989" s="30"/>
    </row>
    <row r="990" spans="1:8" s="33" customFormat="1" ht="12.75">
      <c r="A990" s="224"/>
      <c r="E990" s="30"/>
      <c r="F990" s="30"/>
      <c r="G990" s="30"/>
      <c r="H990" s="30"/>
    </row>
    <row r="991" spans="1:8" s="33" customFormat="1" ht="12.75">
      <c r="A991" s="224"/>
      <c r="E991" s="30"/>
      <c r="F991" s="30"/>
      <c r="G991" s="30"/>
      <c r="H991" s="30"/>
    </row>
    <row r="992" spans="1:8" s="33" customFormat="1" ht="12.75">
      <c r="A992" s="224"/>
      <c r="E992" s="30"/>
      <c r="F992" s="30"/>
      <c r="G992" s="30"/>
      <c r="H992" s="30"/>
    </row>
    <row r="993" spans="1:8" s="33" customFormat="1" ht="12.75">
      <c r="A993" s="224"/>
      <c r="E993" s="30"/>
      <c r="F993" s="30"/>
      <c r="G993" s="30"/>
      <c r="H993" s="30"/>
    </row>
    <row r="994" spans="1:8" s="33" customFormat="1" ht="12.75">
      <c r="A994" s="224"/>
      <c r="E994" s="30"/>
      <c r="F994" s="30"/>
      <c r="G994" s="30"/>
      <c r="H994" s="30"/>
    </row>
    <row r="995" spans="1:8" s="33" customFormat="1" ht="12.75">
      <c r="A995" s="224"/>
      <c r="E995" s="30"/>
      <c r="F995" s="30"/>
      <c r="G995" s="30"/>
      <c r="H995" s="30"/>
    </row>
    <row r="996" spans="1:8" s="33" customFormat="1" ht="12.75">
      <c r="A996" s="224"/>
      <c r="E996" s="30"/>
      <c r="F996" s="30"/>
      <c r="G996" s="30"/>
      <c r="H996" s="30"/>
    </row>
    <row r="997" spans="1:8" s="33" customFormat="1" ht="12.75">
      <c r="A997" s="224"/>
      <c r="E997" s="30"/>
      <c r="F997" s="30"/>
      <c r="G997" s="30"/>
      <c r="H997" s="30"/>
    </row>
    <row r="998" spans="1:8" s="33" customFormat="1" ht="12.75">
      <c r="A998" s="224"/>
      <c r="E998" s="30"/>
      <c r="F998" s="30"/>
      <c r="G998" s="30"/>
      <c r="H998" s="30"/>
    </row>
    <row r="999" spans="1:8" s="33" customFormat="1" ht="12.75">
      <c r="A999" s="224"/>
      <c r="E999" s="30"/>
      <c r="F999" s="30"/>
      <c r="G999" s="30"/>
      <c r="H999" s="30"/>
    </row>
    <row r="1000" spans="1:8" s="8" customFormat="1" ht="12.75">
      <c r="A1000" s="217"/>
      <c r="E1000" s="10"/>
      <c r="F1000" s="10"/>
      <c r="G1000" s="10"/>
      <c r="H1000" s="10"/>
    </row>
    <row r="1001" spans="1:8" s="8" customFormat="1" ht="12.75">
      <c r="A1001" s="217"/>
      <c r="E1001" s="10"/>
      <c r="F1001" s="10"/>
      <c r="G1001" s="10"/>
      <c r="H1001" s="10"/>
    </row>
    <row r="1002" spans="1:8" s="8" customFormat="1" ht="12.75">
      <c r="A1002" s="217"/>
      <c r="E1002" s="10"/>
      <c r="F1002" s="10"/>
      <c r="G1002" s="10"/>
      <c r="H1002" s="10"/>
    </row>
    <row r="1003" spans="1:8" s="8" customFormat="1" ht="12.75">
      <c r="A1003" s="217"/>
      <c r="E1003" s="10"/>
      <c r="F1003" s="10"/>
      <c r="G1003" s="10"/>
      <c r="H1003" s="10"/>
    </row>
    <row r="1004" spans="1:8" s="8" customFormat="1" ht="12.75">
      <c r="A1004" s="217"/>
      <c r="E1004" s="10"/>
      <c r="F1004" s="10"/>
      <c r="G1004" s="10"/>
      <c r="H1004" s="10"/>
    </row>
    <row r="1005" spans="1:8" s="8" customFormat="1" ht="12.75">
      <c r="A1005" s="217"/>
      <c r="E1005" s="10"/>
      <c r="F1005" s="10"/>
      <c r="G1005" s="10"/>
      <c r="H1005" s="10"/>
    </row>
    <row r="1006" spans="1:8" s="8" customFormat="1" ht="12.75">
      <c r="A1006" s="217"/>
      <c r="E1006" s="10"/>
      <c r="F1006" s="10"/>
      <c r="G1006" s="10"/>
      <c r="H1006" s="10"/>
    </row>
    <row r="1007" spans="1:8" s="8" customFormat="1" ht="12.75">
      <c r="A1007" s="217"/>
      <c r="E1007" s="10"/>
      <c r="F1007" s="10"/>
      <c r="G1007" s="10"/>
      <c r="H1007" s="10"/>
    </row>
    <row r="1008" spans="1:8" s="8" customFormat="1" ht="12.75">
      <c r="A1008" s="217"/>
      <c r="E1008" s="10"/>
      <c r="F1008" s="10"/>
      <c r="G1008" s="10"/>
      <c r="H1008" s="10"/>
    </row>
    <row r="1009" spans="1:8" s="8" customFormat="1" ht="12.75">
      <c r="A1009" s="217"/>
      <c r="E1009" s="10"/>
      <c r="F1009" s="10"/>
      <c r="G1009" s="10"/>
      <c r="H1009" s="10"/>
    </row>
    <row r="1010" spans="1:8" s="8" customFormat="1" ht="12.75">
      <c r="A1010" s="217"/>
      <c r="E1010" s="10"/>
      <c r="F1010" s="10"/>
      <c r="G1010" s="10"/>
      <c r="H1010" s="10"/>
    </row>
    <row r="1011" spans="1:8" s="8" customFormat="1" ht="12.75">
      <c r="A1011" s="217"/>
      <c r="E1011" s="10"/>
      <c r="F1011" s="10"/>
      <c r="G1011" s="10"/>
      <c r="H1011" s="10"/>
    </row>
    <row r="1012" spans="1:8" s="8" customFormat="1" ht="12.75">
      <c r="A1012" s="217"/>
      <c r="E1012" s="10"/>
      <c r="F1012" s="10"/>
      <c r="G1012" s="10"/>
      <c r="H1012" s="10"/>
    </row>
    <row r="1013" spans="1:8" s="8" customFormat="1" ht="12.75">
      <c r="A1013" s="217"/>
      <c r="E1013" s="10"/>
      <c r="F1013" s="10"/>
      <c r="G1013" s="10"/>
      <c r="H1013" s="10"/>
    </row>
    <row r="1014" spans="1:8" s="8" customFormat="1" ht="12.75">
      <c r="A1014" s="217"/>
      <c r="E1014" s="10"/>
      <c r="F1014" s="10"/>
      <c r="G1014" s="10"/>
      <c r="H1014" s="10"/>
    </row>
    <row r="1015" spans="1:8" s="8" customFormat="1" ht="12.75">
      <c r="A1015" s="217"/>
      <c r="E1015" s="10"/>
      <c r="F1015" s="10"/>
      <c r="G1015" s="10"/>
      <c r="H1015" s="10"/>
    </row>
    <row r="1016" spans="1:8" s="8" customFormat="1" ht="12.75">
      <c r="A1016" s="217"/>
      <c r="E1016" s="10"/>
      <c r="F1016" s="10"/>
      <c r="G1016" s="10"/>
      <c r="H1016" s="10"/>
    </row>
    <row r="1017" spans="1:8" s="8" customFormat="1" ht="12.75">
      <c r="A1017" s="217"/>
      <c r="E1017" s="10"/>
      <c r="F1017" s="10"/>
      <c r="G1017" s="10"/>
      <c r="H1017" s="10"/>
    </row>
    <row r="1018" spans="1:8" s="8" customFormat="1" ht="12.75">
      <c r="A1018" s="217"/>
      <c r="E1018" s="10"/>
      <c r="F1018" s="10"/>
      <c r="G1018" s="10"/>
      <c r="H1018" s="10"/>
    </row>
    <row r="1019" spans="1:8" s="8" customFormat="1" ht="12.75">
      <c r="A1019" s="217"/>
      <c r="E1019" s="10"/>
      <c r="F1019" s="10"/>
      <c r="G1019" s="10"/>
      <c r="H1019" s="10"/>
    </row>
    <row r="1020" spans="1:8" s="8" customFormat="1" ht="12.75">
      <c r="A1020" s="217"/>
      <c r="E1020" s="10"/>
      <c r="F1020" s="10"/>
      <c r="G1020" s="10"/>
      <c r="H1020" s="10"/>
    </row>
    <row r="1021" spans="1:8" s="8" customFormat="1" ht="12.75">
      <c r="A1021" s="217"/>
      <c r="E1021" s="10"/>
      <c r="F1021" s="10"/>
      <c r="G1021" s="10"/>
      <c r="H1021" s="10"/>
    </row>
    <row r="1022" spans="1:8" s="8" customFormat="1" ht="12.75">
      <c r="A1022" s="217"/>
      <c r="E1022" s="10"/>
      <c r="F1022" s="10"/>
      <c r="G1022" s="10"/>
      <c r="H1022" s="10"/>
    </row>
    <row r="1023" spans="1:8" s="8" customFormat="1" ht="12.75">
      <c r="A1023" s="217"/>
      <c r="E1023" s="10"/>
      <c r="F1023" s="10"/>
      <c r="G1023" s="10"/>
      <c r="H1023" s="10"/>
    </row>
    <row r="1024" spans="1:8" s="8" customFormat="1" ht="12.75">
      <c r="A1024" s="217"/>
      <c r="E1024" s="10"/>
      <c r="F1024" s="10"/>
      <c r="G1024" s="10"/>
      <c r="H1024" s="10"/>
    </row>
    <row r="1025" spans="1:8" s="8" customFormat="1" ht="12.75">
      <c r="A1025" s="217"/>
      <c r="E1025" s="10"/>
      <c r="F1025" s="10"/>
      <c r="G1025" s="10"/>
      <c r="H1025" s="10"/>
    </row>
    <row r="1026" spans="1:8" s="8" customFormat="1" ht="12.75">
      <c r="A1026" s="217"/>
      <c r="E1026" s="10"/>
      <c r="F1026" s="10"/>
      <c r="G1026" s="10"/>
      <c r="H1026" s="10"/>
    </row>
    <row r="1027" spans="1:8" s="8" customFormat="1" ht="12.75">
      <c r="A1027" s="217"/>
      <c r="E1027" s="10"/>
      <c r="F1027" s="10"/>
      <c r="G1027" s="10"/>
      <c r="H1027" s="10"/>
    </row>
    <row r="1028" spans="1:8" s="8" customFormat="1" ht="12.75">
      <c r="A1028" s="217"/>
      <c r="E1028" s="10"/>
      <c r="F1028" s="10"/>
      <c r="G1028" s="10"/>
      <c r="H1028" s="10"/>
    </row>
    <row r="1029" spans="1:8" s="8" customFormat="1" ht="12.75">
      <c r="A1029" s="217"/>
      <c r="E1029" s="10"/>
      <c r="F1029" s="10"/>
      <c r="G1029" s="10"/>
      <c r="H1029" s="10"/>
    </row>
    <row r="1030" spans="1:8" s="8" customFormat="1" ht="12.75">
      <c r="A1030" s="217"/>
      <c r="E1030" s="10"/>
      <c r="F1030" s="10"/>
      <c r="G1030" s="10"/>
      <c r="H1030" s="10"/>
    </row>
    <row r="1031" spans="1:8" s="8" customFormat="1" ht="12.75">
      <c r="A1031" s="217"/>
      <c r="E1031" s="10"/>
      <c r="F1031" s="10"/>
      <c r="G1031" s="10"/>
      <c r="H1031" s="10"/>
    </row>
    <row r="1032" spans="1:8" s="8" customFormat="1" ht="12.75">
      <c r="A1032" s="217"/>
      <c r="E1032" s="10"/>
      <c r="F1032" s="10"/>
      <c r="G1032" s="10"/>
      <c r="H1032" s="10"/>
    </row>
    <row r="1033" spans="1:8" s="8" customFormat="1" ht="12.75">
      <c r="A1033" s="217"/>
      <c r="E1033" s="10"/>
      <c r="F1033" s="10"/>
      <c r="G1033" s="10"/>
      <c r="H1033" s="10"/>
    </row>
    <row r="1034" spans="1:8" s="8" customFormat="1" ht="12.75">
      <c r="A1034" s="217"/>
      <c r="E1034" s="10"/>
      <c r="F1034" s="10"/>
      <c r="G1034" s="10"/>
      <c r="H1034" s="10"/>
    </row>
    <row r="1035" spans="1:8" s="8" customFormat="1" ht="12.75">
      <c r="A1035" s="217"/>
      <c r="E1035" s="10"/>
      <c r="F1035" s="10"/>
      <c r="G1035" s="10"/>
      <c r="H1035" s="10"/>
    </row>
    <row r="1036" spans="1:8" s="8" customFormat="1" ht="12.75">
      <c r="A1036" s="217"/>
      <c r="E1036" s="10"/>
      <c r="F1036" s="10"/>
      <c r="G1036" s="10"/>
      <c r="H1036" s="10"/>
    </row>
    <row r="1037" spans="1:8" s="8" customFormat="1" ht="12.75">
      <c r="A1037" s="217"/>
      <c r="E1037" s="10"/>
      <c r="F1037" s="10"/>
      <c r="G1037" s="10"/>
      <c r="H1037" s="10"/>
    </row>
    <row r="1038" spans="1:8" s="8" customFormat="1" ht="12.75">
      <c r="A1038" s="217"/>
      <c r="E1038" s="10"/>
      <c r="F1038" s="10"/>
      <c r="G1038" s="10"/>
      <c r="H1038" s="10"/>
    </row>
    <row r="1039" spans="1:8" s="8" customFormat="1" ht="12.75">
      <c r="A1039" s="217"/>
      <c r="E1039" s="10"/>
      <c r="F1039" s="10"/>
      <c r="G1039" s="10"/>
      <c r="H1039" s="10"/>
    </row>
    <row r="1040" spans="1:8" s="8" customFormat="1" ht="12.75">
      <c r="A1040" s="217"/>
      <c r="E1040" s="10"/>
      <c r="F1040" s="10"/>
      <c r="G1040" s="10"/>
      <c r="H1040" s="10"/>
    </row>
    <row r="1041" spans="1:8" s="8" customFormat="1" ht="12.75">
      <c r="A1041" s="217"/>
      <c r="E1041" s="10"/>
      <c r="F1041" s="10"/>
      <c r="G1041" s="10"/>
      <c r="H1041" s="10"/>
    </row>
    <row r="1042" spans="1:8" s="8" customFormat="1" ht="12.75">
      <c r="A1042" s="217"/>
      <c r="E1042" s="10"/>
      <c r="F1042" s="10"/>
      <c r="G1042" s="10"/>
      <c r="H1042" s="10"/>
    </row>
    <row r="1043" spans="1:8" s="8" customFormat="1" ht="12.75">
      <c r="A1043" s="217"/>
      <c r="E1043" s="10"/>
      <c r="F1043" s="10"/>
      <c r="G1043" s="10"/>
      <c r="H1043" s="10"/>
    </row>
    <row r="1044" spans="1:8" s="8" customFormat="1" ht="12.75">
      <c r="A1044" s="217"/>
      <c r="E1044" s="10"/>
      <c r="F1044" s="10"/>
      <c r="G1044" s="10"/>
      <c r="H1044" s="10"/>
    </row>
    <row r="1045" spans="1:8" s="8" customFormat="1" ht="12.75">
      <c r="A1045" s="217"/>
      <c r="E1045" s="10"/>
      <c r="F1045" s="10"/>
      <c r="G1045" s="10"/>
      <c r="H1045" s="10"/>
    </row>
    <row r="1046" spans="1:8" s="8" customFormat="1" ht="12.75">
      <c r="A1046" s="217"/>
      <c r="E1046" s="10"/>
      <c r="F1046" s="10"/>
      <c r="G1046" s="10"/>
      <c r="H1046" s="10"/>
    </row>
    <row r="1047" spans="1:8" s="8" customFormat="1" ht="12.75">
      <c r="A1047" s="217"/>
      <c r="E1047" s="10"/>
      <c r="F1047" s="10"/>
      <c r="G1047" s="10"/>
      <c r="H1047" s="10"/>
    </row>
    <row r="1048" spans="1:8" s="8" customFormat="1" ht="12.75">
      <c r="A1048" s="217"/>
      <c r="E1048" s="10"/>
      <c r="F1048" s="10"/>
      <c r="G1048" s="10"/>
      <c r="H1048" s="10"/>
    </row>
    <row r="1049" spans="1:8" s="8" customFormat="1" ht="12.75">
      <c r="A1049" s="217"/>
      <c r="E1049" s="10"/>
      <c r="F1049" s="10"/>
      <c r="G1049" s="10"/>
      <c r="H1049" s="10"/>
    </row>
    <row r="1050" spans="1:8" s="8" customFormat="1" ht="12.75">
      <c r="A1050" s="217"/>
      <c r="E1050" s="10"/>
      <c r="F1050" s="10"/>
      <c r="G1050" s="10"/>
      <c r="H1050" s="10"/>
    </row>
    <row r="1051" spans="1:8" s="8" customFormat="1" ht="12.75">
      <c r="A1051" s="217"/>
      <c r="E1051" s="10"/>
      <c r="F1051" s="10"/>
      <c r="G1051" s="10"/>
      <c r="H1051" s="10"/>
    </row>
    <row r="1052" spans="1:8" s="8" customFormat="1" ht="12.75">
      <c r="A1052" s="217"/>
      <c r="E1052" s="10"/>
      <c r="F1052" s="10"/>
      <c r="G1052" s="10"/>
      <c r="H1052" s="10"/>
    </row>
    <row r="1053" spans="1:8" s="8" customFormat="1" ht="12.75">
      <c r="A1053" s="217"/>
      <c r="E1053" s="10"/>
      <c r="F1053" s="10"/>
      <c r="G1053" s="10"/>
      <c r="H1053" s="10"/>
    </row>
    <row r="1054" spans="1:8" s="8" customFormat="1" ht="12.75">
      <c r="A1054" s="217"/>
      <c r="E1054" s="10"/>
      <c r="F1054" s="10"/>
      <c r="G1054" s="10"/>
      <c r="H1054" s="10"/>
    </row>
    <row r="1055" spans="1:8" s="8" customFormat="1" ht="12.75">
      <c r="A1055" s="217"/>
      <c r="E1055" s="10"/>
      <c r="F1055" s="10"/>
      <c r="G1055" s="10"/>
      <c r="H1055" s="10"/>
    </row>
    <row r="1056" spans="1:8" s="8" customFormat="1" ht="12.75">
      <c r="A1056" s="217"/>
      <c r="E1056" s="10"/>
      <c r="F1056" s="10"/>
      <c r="G1056" s="10"/>
      <c r="H1056" s="10"/>
    </row>
    <row r="1057" spans="1:8" s="8" customFormat="1" ht="12.75">
      <c r="A1057" s="217"/>
      <c r="E1057" s="10"/>
      <c r="F1057" s="10"/>
      <c r="G1057" s="10"/>
      <c r="H1057" s="10"/>
    </row>
    <row r="1058" spans="1:8" s="8" customFormat="1" ht="12.75">
      <c r="A1058" s="217"/>
      <c r="E1058" s="10"/>
      <c r="F1058" s="10"/>
      <c r="G1058" s="10"/>
      <c r="H1058" s="10"/>
    </row>
    <row r="1059" spans="1:8" s="8" customFormat="1" ht="12.75">
      <c r="A1059" s="217"/>
      <c r="E1059" s="10"/>
      <c r="F1059" s="10"/>
      <c r="G1059" s="10"/>
      <c r="H1059" s="10"/>
    </row>
    <row r="1060" spans="1:8" s="8" customFormat="1" ht="12.75">
      <c r="A1060" s="217"/>
      <c r="E1060" s="10"/>
      <c r="F1060" s="10"/>
      <c r="G1060" s="10"/>
      <c r="H1060" s="10"/>
    </row>
    <row r="1061" spans="1:8" s="8" customFormat="1" ht="12.75">
      <c r="A1061" s="217"/>
      <c r="E1061" s="10"/>
      <c r="F1061" s="10"/>
      <c r="G1061" s="10"/>
      <c r="H1061" s="10"/>
    </row>
    <row r="1062" spans="1:8" s="8" customFormat="1" ht="12.75">
      <c r="A1062" s="217"/>
      <c r="E1062" s="10"/>
      <c r="F1062" s="10"/>
      <c r="G1062" s="10"/>
      <c r="H1062" s="10"/>
    </row>
    <row r="1063" spans="1:8" s="8" customFormat="1" ht="12.75">
      <c r="A1063" s="217"/>
      <c r="E1063" s="10"/>
      <c r="F1063" s="10"/>
      <c r="G1063" s="10"/>
      <c r="H1063" s="10"/>
    </row>
    <row r="1064" spans="1:8" s="8" customFormat="1" ht="12.75">
      <c r="A1064" s="217"/>
      <c r="E1064" s="10"/>
      <c r="F1064" s="10"/>
      <c r="G1064" s="10"/>
      <c r="H1064" s="10"/>
    </row>
  </sheetData>
  <sheetProtection password="C62B" sheet="1" objects="1" scenarios="1" selectLockedCells="1"/>
  <mergeCells count="111">
    <mergeCell ref="A901:H901"/>
    <mergeCell ref="A810:H810"/>
    <mergeCell ref="A811:H811"/>
    <mergeCell ref="A812:H812"/>
    <mergeCell ref="A813:H813"/>
    <mergeCell ref="A883:H883"/>
    <mergeCell ref="A467:H467"/>
    <mergeCell ref="A615:I615"/>
    <mergeCell ref="A616:I616"/>
    <mergeCell ref="A617:I617"/>
    <mergeCell ref="A619:I619"/>
    <mergeCell ref="A730:H730"/>
    <mergeCell ref="C787:C788"/>
    <mergeCell ref="D787:D788"/>
    <mergeCell ref="A650:H650"/>
    <mergeCell ref="A649:H649"/>
    <mergeCell ref="A731:I731"/>
    <mergeCell ref="G787:G788"/>
    <mergeCell ref="H787:H788"/>
    <mergeCell ref="A463:H463"/>
    <mergeCell ref="A729:I729"/>
    <mergeCell ref="I787:I788"/>
    <mergeCell ref="F623:G623"/>
    <mergeCell ref="D623:E623"/>
    <mergeCell ref="A620:H620"/>
    <mergeCell ref="F572:F573"/>
    <mergeCell ref="C471:C472"/>
    <mergeCell ref="A618:I618"/>
    <mergeCell ref="F787:F788"/>
    <mergeCell ref="A145:G145"/>
    <mergeCell ref="E572:E573"/>
    <mergeCell ref="D427:D428"/>
    <mergeCell ref="E427:E428"/>
    <mergeCell ref="G427:G428"/>
    <mergeCell ref="A462:H462"/>
    <mergeCell ref="A513:H513"/>
    <mergeCell ref="H572:H573"/>
    <mergeCell ref="C572:C573"/>
    <mergeCell ref="D572:D573"/>
    <mergeCell ref="D113:D114"/>
    <mergeCell ref="E113:E114"/>
    <mergeCell ref="A464:H464"/>
    <mergeCell ref="D471:D472"/>
    <mergeCell ref="E471:E472"/>
    <mergeCell ref="A465:H465"/>
    <mergeCell ref="A466:H466"/>
    <mergeCell ref="H427:H428"/>
    <mergeCell ref="F427:F428"/>
    <mergeCell ref="C427:C428"/>
    <mergeCell ref="A150:G150"/>
    <mergeCell ref="A368:G368"/>
    <mergeCell ref="C208:C209"/>
    <mergeCell ref="E208:E209"/>
    <mergeCell ref="C332:C333"/>
    <mergeCell ref="D332:D333"/>
    <mergeCell ref="E332:E333"/>
    <mergeCell ref="I918:I919"/>
    <mergeCell ref="A882:H882"/>
    <mergeCell ref="A1:G1"/>
    <mergeCell ref="A253:H253"/>
    <mergeCell ref="A326:H326"/>
    <mergeCell ref="A327:H327"/>
    <mergeCell ref="A7:F7"/>
    <mergeCell ref="D208:D209"/>
    <mergeCell ref="C113:C114"/>
    <mergeCell ref="A648:H648"/>
    <mergeCell ref="A808:I808"/>
    <mergeCell ref="A903:H903"/>
    <mergeCell ref="F907:F908"/>
    <mergeCell ref="B623:C623"/>
    <mergeCell ref="H875:H876"/>
    <mergeCell ref="D708:D709"/>
    <mergeCell ref="E708:E709"/>
    <mergeCell ref="A886:H886"/>
    <mergeCell ref="C708:C709"/>
    <mergeCell ref="A809:H809"/>
    <mergeCell ref="A902:H902"/>
    <mergeCell ref="A953:F953"/>
    <mergeCell ref="A927:F927"/>
    <mergeCell ref="A928:F928"/>
    <mergeCell ref="A943:F943"/>
    <mergeCell ref="A941:F941"/>
    <mergeCell ref="C933:C934"/>
    <mergeCell ref="A942:F942"/>
    <mergeCell ref="G918:G919"/>
    <mergeCell ref="H918:H919"/>
    <mergeCell ref="D907:D908"/>
    <mergeCell ref="C907:C908"/>
    <mergeCell ref="C918:C919"/>
    <mergeCell ref="A914:F914"/>
    <mergeCell ref="A913:F913"/>
    <mergeCell ref="A926:F926"/>
    <mergeCell ref="E907:E908"/>
    <mergeCell ref="C875:C876"/>
    <mergeCell ref="D875:D876"/>
    <mergeCell ref="E875:E876"/>
    <mergeCell ref="F875:F876"/>
    <mergeCell ref="D918:D919"/>
    <mergeCell ref="A900:H900"/>
    <mergeCell ref="A899:H899"/>
    <mergeCell ref="G875:G876"/>
    <mergeCell ref="I875:I876"/>
    <mergeCell ref="C892:C893"/>
    <mergeCell ref="D892:D893"/>
    <mergeCell ref="E892:E893"/>
    <mergeCell ref="F892:F893"/>
    <mergeCell ref="G892:G893"/>
    <mergeCell ref="H892:H893"/>
    <mergeCell ref="I892:I893"/>
    <mergeCell ref="A884:H884"/>
    <mergeCell ref="A885:H885"/>
  </mergeCells>
  <printOptions/>
  <pageMargins left="0.5" right="0.5" top="0.75" bottom="0.75" header="0.5" footer="0.25"/>
  <pageSetup horizontalDpi="300" verticalDpi="300" orientation="landscape" scale="62" r:id="rId4"/>
  <headerFooter alignWithMargins="0">
    <oddFooter>&amp;LNortheast Recycling Council, Inc. (NERC)
© September 2006&amp;CPage &amp;P&amp;R&amp;A</oddFooter>
  </headerFooter>
  <rowBreaks count="20" manualBreakCount="20">
    <brk id="56" max="255" man="1"/>
    <brk id="110" max="255" man="1"/>
    <brk id="152" max="255" man="1"/>
    <brk id="205" max="255" man="1"/>
    <brk id="254" max="255" man="1"/>
    <brk id="301" max="255" man="1"/>
    <brk id="328" max="255" man="1"/>
    <brk id="369" max="255" man="1"/>
    <brk id="423" max="255" man="1"/>
    <brk id="467" max="255" man="1"/>
    <brk id="514" max="255" man="1"/>
    <brk id="568" max="255" man="1"/>
    <brk id="620" max="255" man="1"/>
    <brk id="651" max="255" man="1"/>
    <brk id="704" max="255" man="1"/>
    <brk id="730" max="255" man="1"/>
    <brk id="782" max="255" man="1"/>
    <brk id="814" max="255" man="1"/>
    <brk id="869" max="255" man="1"/>
    <brk id="904" max="255" man="1"/>
  </rowBreaks>
  <colBreaks count="1" manualBreakCount="1">
    <brk id="9" max="65535" man="1"/>
  </colBreaks>
  <drawing r:id="rId3"/>
  <legacyDrawing r:id="rId2"/>
</worksheet>
</file>

<file path=xl/worksheets/sheet4.xml><?xml version="1.0" encoding="utf-8"?>
<worksheet xmlns="http://schemas.openxmlformats.org/spreadsheetml/2006/main" xmlns:r="http://schemas.openxmlformats.org/officeDocument/2006/relationships">
  <dimension ref="A1:R144"/>
  <sheetViews>
    <sheetView zoomScale="85" zoomScaleNormal="85" zoomScaleSheetLayoutView="50" workbookViewId="0" topLeftCell="A1">
      <selection activeCell="A1" sqref="A1:G1"/>
    </sheetView>
  </sheetViews>
  <sheetFormatPr defaultColWidth="9.140625" defaultRowHeight="12.75"/>
  <cols>
    <col min="1" max="1" width="32.421875" style="24" customWidth="1"/>
    <col min="2" max="2" width="17.00390625" style="24" customWidth="1"/>
    <col min="3" max="3" width="15.421875" style="24" customWidth="1"/>
    <col min="4" max="4" width="16.00390625" style="24" customWidth="1"/>
    <col min="5" max="5" width="16.8515625" style="24" customWidth="1"/>
    <col min="6" max="6" width="16.00390625" style="24" customWidth="1"/>
    <col min="7" max="7" width="15.28125" style="24" customWidth="1"/>
    <col min="8" max="8" width="14.8515625" style="24" customWidth="1"/>
    <col min="9" max="9" width="14.57421875" style="24" customWidth="1"/>
    <col min="10" max="10" width="14.7109375" style="24" customWidth="1"/>
    <col min="11" max="12" width="14.28125" style="24" customWidth="1"/>
    <col min="13" max="13" width="14.57421875" style="24" customWidth="1"/>
    <col min="14" max="14" width="17.421875" style="24" customWidth="1"/>
    <col min="15" max="15" width="12.7109375" style="24" customWidth="1"/>
    <col min="16" max="16" width="14.28125" style="24" customWidth="1"/>
    <col min="17" max="17" width="13.140625" style="24" customWidth="1"/>
    <col min="18" max="18" width="12.140625" style="24" customWidth="1"/>
    <col min="19" max="19" width="12.28125" style="24" customWidth="1"/>
    <col min="20" max="20" width="13.57421875" style="24" customWidth="1"/>
    <col min="21" max="21" width="8.8515625" style="24" customWidth="1"/>
    <col min="22" max="22" width="10.7109375" style="24" customWidth="1"/>
    <col min="23" max="23" width="10.28125" style="24" customWidth="1"/>
    <col min="24" max="24" width="14.140625" style="24" customWidth="1"/>
    <col min="25" max="26" width="12.28125" style="24" customWidth="1"/>
    <col min="27" max="27" width="8.8515625" style="24" customWidth="1"/>
    <col min="28" max="28" width="9.28125" style="24" bestFit="1" customWidth="1"/>
    <col min="29" max="30" width="8.8515625" style="24" customWidth="1"/>
    <col min="31" max="31" width="9.28125" style="24" bestFit="1" customWidth="1"/>
    <col min="32" max="16384" width="8.8515625" style="24" customWidth="1"/>
  </cols>
  <sheetData>
    <row r="1" spans="1:7" ht="52.5" customHeight="1">
      <c r="A1" s="586" t="s">
        <v>125</v>
      </c>
      <c r="B1" s="571"/>
      <c r="C1" s="571"/>
      <c r="D1" s="571"/>
      <c r="E1" s="571"/>
      <c r="F1" s="571"/>
      <c r="G1" s="571"/>
    </row>
    <row r="2" ht="15">
      <c r="A2" s="101" t="s">
        <v>283</v>
      </c>
    </row>
    <row r="3" ht="15">
      <c r="A3" s="304" t="s">
        <v>140</v>
      </c>
    </row>
    <row r="4" ht="12.75"/>
    <row r="5" ht="18">
      <c r="A5" s="71" t="s">
        <v>230</v>
      </c>
    </row>
    <row r="6" ht="12.75"/>
    <row r="7" ht="15.75">
      <c r="A7" s="25" t="s">
        <v>231</v>
      </c>
    </row>
    <row r="8" spans="1:7" s="133" customFormat="1" ht="32.25" customHeight="1">
      <c r="A8" s="639" t="s">
        <v>31</v>
      </c>
      <c r="B8" s="571"/>
      <c r="C8" s="571"/>
      <c r="D8" s="571"/>
      <c r="E8" s="571"/>
      <c r="F8" s="571"/>
      <c r="G8" s="571"/>
    </row>
    <row r="9" s="139" customFormat="1" ht="15.75" thickBot="1">
      <c r="A9" s="138"/>
    </row>
    <row r="10" spans="1:6" s="139" customFormat="1" ht="35.25" customHeight="1">
      <c r="A10" s="140"/>
      <c r="B10" s="646" t="s">
        <v>74</v>
      </c>
      <c r="C10" s="647"/>
      <c r="D10" s="647"/>
      <c r="E10" s="647"/>
      <c r="F10" s="648"/>
    </row>
    <row r="11" spans="1:6" s="139" customFormat="1" ht="69.75" customHeight="1" thickBot="1">
      <c r="A11" s="141" t="s">
        <v>403</v>
      </c>
      <c r="B11" s="142" t="s">
        <v>319</v>
      </c>
      <c r="C11" s="143" t="s">
        <v>72</v>
      </c>
      <c r="D11" s="144" t="s">
        <v>73</v>
      </c>
      <c r="E11" s="145" t="s">
        <v>75</v>
      </c>
      <c r="F11" s="146" t="s">
        <v>76</v>
      </c>
    </row>
    <row r="12" spans="1:18" s="139" customFormat="1" ht="15">
      <c r="A12" s="147" t="s">
        <v>373</v>
      </c>
      <c r="B12" s="148">
        <v>-2.2448238655361257</v>
      </c>
      <c r="C12" s="148">
        <v>-3.700829943145134</v>
      </c>
      <c r="D12" s="148" t="s">
        <v>404</v>
      </c>
      <c r="E12" s="148">
        <v>0.016662492792517906</v>
      </c>
      <c r="F12" s="432">
        <v>0.010364709869386366</v>
      </c>
      <c r="N12" s="149"/>
      <c r="O12" s="150"/>
      <c r="P12" s="150"/>
      <c r="Q12" s="150"/>
      <c r="R12" s="150"/>
    </row>
    <row r="13" spans="1:18" s="139" customFormat="1" ht="15">
      <c r="A13" s="147" t="s">
        <v>374</v>
      </c>
      <c r="B13" s="151">
        <v>-0.8663514522605543</v>
      </c>
      <c r="C13" s="151">
        <v>-0.48927276308890283</v>
      </c>
      <c r="D13" s="151" t="s">
        <v>404</v>
      </c>
      <c r="E13" s="151">
        <v>-0.41832845994498746</v>
      </c>
      <c r="F13" s="433">
        <v>0.010364709869386366</v>
      </c>
      <c r="N13" s="149"/>
      <c r="O13" s="150"/>
      <c r="P13" s="150"/>
      <c r="Q13" s="150"/>
      <c r="R13" s="150"/>
    </row>
    <row r="14" spans="1:18" s="139" customFormat="1" ht="15">
      <c r="A14" s="147" t="s">
        <v>321</v>
      </c>
      <c r="B14" s="151">
        <v>-2.0012888487268228</v>
      </c>
      <c r="C14" s="151">
        <v>-1.342457358671768</v>
      </c>
      <c r="D14" s="151" t="s">
        <v>404</v>
      </c>
      <c r="E14" s="151">
        <v>0.014936304945971361</v>
      </c>
      <c r="F14" s="433">
        <v>0.010364709869386366</v>
      </c>
      <c r="N14" s="149"/>
      <c r="O14" s="150"/>
      <c r="P14" s="150"/>
      <c r="Q14" s="150"/>
      <c r="R14" s="150"/>
    </row>
    <row r="15" spans="1:18" s="139" customFormat="1" ht="15">
      <c r="A15" s="147" t="s">
        <v>322</v>
      </c>
      <c r="B15" s="151">
        <v>-2.2448238655361257</v>
      </c>
      <c r="C15" s="151">
        <v>-3.700829943145134</v>
      </c>
      <c r="D15" s="151" t="s">
        <v>404</v>
      </c>
      <c r="E15" s="151">
        <v>0.016662492792517906</v>
      </c>
      <c r="F15" s="433">
        <v>0.010364709869386366</v>
      </c>
      <c r="N15" s="149"/>
      <c r="O15" s="150"/>
      <c r="P15" s="150"/>
      <c r="Q15" s="150"/>
      <c r="R15" s="150"/>
    </row>
    <row r="16" spans="1:18" s="139" customFormat="1" ht="15">
      <c r="A16" s="147" t="s">
        <v>88</v>
      </c>
      <c r="B16" s="151">
        <v>-0.8663514522605543</v>
      </c>
      <c r="C16" s="151">
        <v>-0.48927276308890283</v>
      </c>
      <c r="D16" s="151" t="s">
        <v>404</v>
      </c>
      <c r="E16" s="151">
        <v>-0.41832845994498746</v>
      </c>
      <c r="F16" s="433">
        <v>0.010364709869386366</v>
      </c>
      <c r="N16" s="149"/>
      <c r="O16" s="150"/>
      <c r="P16" s="150"/>
      <c r="Q16" s="150"/>
      <c r="R16" s="150"/>
    </row>
    <row r="17" spans="1:18" s="139" customFormat="1" ht="15">
      <c r="A17" s="147" t="s">
        <v>375</v>
      </c>
      <c r="B17" s="151">
        <v>-0.15622203611645527</v>
      </c>
      <c r="C17" s="151">
        <v>-0.07578020947116768</v>
      </c>
      <c r="D17" s="151" t="s">
        <v>404</v>
      </c>
      <c r="E17" s="151">
        <v>0.01390059223804343</v>
      </c>
      <c r="F17" s="433">
        <v>0.010364709869386366</v>
      </c>
      <c r="N17" s="149"/>
      <c r="O17" s="150"/>
      <c r="P17" s="150"/>
      <c r="Q17" s="150"/>
      <c r="R17" s="150"/>
    </row>
    <row r="18" spans="1:18" s="139" customFormat="1" ht="15">
      <c r="A18" s="147" t="s">
        <v>376</v>
      </c>
      <c r="B18" s="151">
        <v>-0.4871690715398987</v>
      </c>
      <c r="C18" s="151">
        <v>-0.37965261167827236</v>
      </c>
      <c r="D18" s="151" t="s">
        <v>404</v>
      </c>
      <c r="E18" s="151">
        <v>0.2532986681682464</v>
      </c>
      <c r="F18" s="433">
        <v>0.010364709869386366</v>
      </c>
      <c r="N18" s="149"/>
      <c r="O18" s="150"/>
      <c r="P18" s="150"/>
      <c r="Q18" s="150"/>
      <c r="R18" s="150"/>
    </row>
    <row r="19" spans="1:18" s="139" customFormat="1" ht="15">
      <c r="A19" s="147" t="s">
        <v>377</v>
      </c>
      <c r="B19" s="151">
        <v>-0.6183093196959345</v>
      </c>
      <c r="C19" s="151">
        <v>-0.462093565802684</v>
      </c>
      <c r="D19" s="151" t="s">
        <v>404</v>
      </c>
      <c r="E19" s="151">
        <v>0.2532986681682464</v>
      </c>
      <c r="F19" s="433">
        <v>0.010364709869386366</v>
      </c>
      <c r="N19" s="149"/>
      <c r="O19" s="150"/>
      <c r="P19" s="150"/>
      <c r="Q19" s="150"/>
      <c r="R19" s="150"/>
    </row>
    <row r="20" spans="1:18" s="139" customFormat="1" ht="15">
      <c r="A20" s="147" t="s">
        <v>378</v>
      </c>
      <c r="B20" s="151">
        <v>-0.5710165853371739</v>
      </c>
      <c r="C20" s="151">
        <v>-0.4194369195988847</v>
      </c>
      <c r="D20" s="151" t="s">
        <v>404</v>
      </c>
      <c r="E20" s="151">
        <v>0.29510688903422655</v>
      </c>
      <c r="F20" s="433">
        <v>0.010364709869386366</v>
      </c>
      <c r="N20" s="149"/>
      <c r="O20" s="150"/>
      <c r="P20" s="150"/>
      <c r="Q20" s="150"/>
      <c r="R20" s="150"/>
    </row>
    <row r="21" spans="1:18" s="139" customFormat="1" ht="15">
      <c r="A21" s="147" t="s">
        <v>372</v>
      </c>
      <c r="B21" s="151">
        <v>-1.5245289651931342</v>
      </c>
      <c r="C21" s="151">
        <v>-0.8485278037210393</v>
      </c>
      <c r="D21" s="151" t="s">
        <v>404</v>
      </c>
      <c r="E21" s="151">
        <v>-0.17711053011660902</v>
      </c>
      <c r="F21" s="433">
        <v>0.10917579745254322</v>
      </c>
      <c r="N21" s="149"/>
      <c r="O21" s="150"/>
      <c r="P21" s="150"/>
      <c r="Q21" s="150"/>
      <c r="R21" s="150"/>
    </row>
    <row r="22" spans="1:18" s="139" customFormat="1" ht="15">
      <c r="A22" s="147" t="s">
        <v>476</v>
      </c>
      <c r="B22" s="151">
        <v>-2.359523905999528</v>
      </c>
      <c r="C22" s="151">
        <v>-0.837392916315724</v>
      </c>
      <c r="D22" s="151" t="s">
        <v>404</v>
      </c>
      <c r="E22" s="151">
        <v>-0.1278106052192396</v>
      </c>
      <c r="F22" s="433">
        <v>-0.08211259592198553</v>
      </c>
      <c r="N22" s="149"/>
      <c r="O22" s="150"/>
      <c r="P22" s="150"/>
      <c r="Q22" s="150"/>
      <c r="R22" s="150"/>
    </row>
    <row r="23" spans="1:18" s="139" customFormat="1" ht="15">
      <c r="A23" s="147" t="s">
        <v>370</v>
      </c>
      <c r="B23" s="151">
        <v>-1.3293967329610195</v>
      </c>
      <c r="C23" s="151">
        <v>-0.761328884516524</v>
      </c>
      <c r="D23" s="151" t="s">
        <v>404</v>
      </c>
      <c r="E23" s="151">
        <v>-0.2021609681456925</v>
      </c>
      <c r="F23" s="433">
        <v>-0.23677278680514668</v>
      </c>
      <c r="N23" s="149"/>
      <c r="O23" s="150"/>
      <c r="P23" s="150"/>
      <c r="Q23" s="150"/>
      <c r="R23" s="150"/>
    </row>
    <row r="24" spans="1:18" s="139" customFormat="1" ht="15">
      <c r="A24" s="147" t="s">
        <v>371</v>
      </c>
      <c r="B24" s="151">
        <v>-2.1816079931328316</v>
      </c>
      <c r="C24" s="151">
        <v>-0.7779202514937521</v>
      </c>
      <c r="D24" s="151" t="s">
        <v>404</v>
      </c>
      <c r="E24" s="151">
        <v>-0.170399111769236</v>
      </c>
      <c r="F24" s="433">
        <v>0.5297767951049305</v>
      </c>
      <c r="N24" s="149"/>
      <c r="O24" s="150"/>
      <c r="P24" s="150"/>
      <c r="Q24" s="150"/>
      <c r="R24" s="150"/>
    </row>
    <row r="25" spans="1:18" s="139" customFormat="1" ht="15">
      <c r="A25" s="147" t="s">
        <v>477</v>
      </c>
      <c r="B25" s="151">
        <v>-1.7241732942823216</v>
      </c>
      <c r="C25" s="151">
        <v>-0.7241876893227648</v>
      </c>
      <c r="D25" s="151" t="s">
        <v>404</v>
      </c>
      <c r="E25" s="151">
        <v>-0.2021609681456925</v>
      </c>
      <c r="F25" s="433">
        <v>-0.23677278680514668</v>
      </c>
      <c r="N25" s="149"/>
      <c r="O25" s="150"/>
      <c r="P25" s="150"/>
      <c r="Q25" s="150"/>
      <c r="R25" s="150"/>
    </row>
    <row r="26" spans="1:18" s="139" customFormat="1" ht="15">
      <c r="A26" s="147" t="s">
        <v>478</v>
      </c>
      <c r="B26" s="151">
        <v>-2.499754309763561</v>
      </c>
      <c r="C26" s="151">
        <v>-0.8476638668079242</v>
      </c>
      <c r="D26" s="151" t="s">
        <v>404</v>
      </c>
      <c r="E26" s="151">
        <v>-0.170399111769236</v>
      </c>
      <c r="F26" s="433">
        <v>0.5297767951049305</v>
      </c>
      <c r="N26" s="149"/>
      <c r="O26" s="150"/>
      <c r="P26" s="150"/>
      <c r="Q26" s="150"/>
      <c r="R26" s="150"/>
    </row>
    <row r="27" spans="1:18" s="139" customFormat="1" ht="15">
      <c r="A27" s="152" t="s">
        <v>407</v>
      </c>
      <c r="B27" s="151">
        <v>-0.5507676679116872</v>
      </c>
      <c r="C27" s="151">
        <v>-0.669797931899086</v>
      </c>
      <c r="D27" s="151" t="s">
        <v>404</v>
      </c>
      <c r="E27" s="151">
        <v>-0.2118276200863532</v>
      </c>
      <c r="F27" s="433">
        <v>-0.13300283338907806</v>
      </c>
      <c r="N27" s="149"/>
      <c r="O27" s="150"/>
      <c r="P27" s="150"/>
      <c r="Q27" s="150"/>
      <c r="R27" s="150"/>
    </row>
    <row r="28" spans="1:18" s="139" customFormat="1" ht="15">
      <c r="A28" s="152" t="s">
        <v>68</v>
      </c>
      <c r="B28" s="151">
        <v>-0.6044837940516496</v>
      </c>
      <c r="C28" s="151">
        <v>-0.674168369448811</v>
      </c>
      <c r="D28" s="151" t="s">
        <v>404</v>
      </c>
      <c r="E28" s="151">
        <v>-0.2118276200863532</v>
      </c>
      <c r="F28" s="433">
        <v>-0.13300283338907806</v>
      </c>
      <c r="N28" s="149"/>
      <c r="O28" s="150"/>
      <c r="P28" s="150"/>
      <c r="Q28" s="150"/>
      <c r="R28" s="150"/>
    </row>
    <row r="29" spans="1:18" s="139" customFormat="1" ht="15">
      <c r="A29" s="152" t="s">
        <v>379</v>
      </c>
      <c r="B29" s="151" t="s">
        <v>404</v>
      </c>
      <c r="C29" s="151" t="s">
        <v>404</v>
      </c>
      <c r="D29" s="151">
        <v>-0.05415367621291924</v>
      </c>
      <c r="E29" s="151">
        <v>-0.0480469172060167</v>
      </c>
      <c r="F29" s="433">
        <v>0.19737367912487547</v>
      </c>
      <c r="N29" s="149"/>
      <c r="O29" s="150"/>
      <c r="P29" s="150"/>
      <c r="Q29" s="150"/>
      <c r="R29" s="150"/>
    </row>
    <row r="30" spans="1:18" s="139" customFormat="1" ht="15">
      <c r="A30" s="152" t="s">
        <v>380</v>
      </c>
      <c r="B30" s="151" t="s">
        <v>404</v>
      </c>
      <c r="C30" s="151" t="s">
        <v>404</v>
      </c>
      <c r="D30" s="151">
        <v>-0.05415367621291924</v>
      </c>
      <c r="E30" s="151">
        <v>-0.05992308959025693</v>
      </c>
      <c r="F30" s="433">
        <v>-0.059734372275324465</v>
      </c>
      <c r="N30" s="149"/>
      <c r="O30" s="150"/>
      <c r="P30" s="150"/>
      <c r="Q30" s="150"/>
      <c r="R30" s="150"/>
    </row>
    <row r="31" spans="1:18" s="139" customFormat="1" ht="15">
      <c r="A31" s="152" t="s">
        <v>408</v>
      </c>
      <c r="B31" s="151" t="s">
        <v>404</v>
      </c>
      <c r="C31" s="151" t="s">
        <v>404</v>
      </c>
      <c r="D31" s="151">
        <v>-0.05415367621291924</v>
      </c>
      <c r="E31" s="151">
        <v>-0.05992308959025693</v>
      </c>
      <c r="F31" s="433">
        <v>-0.002011747619790824</v>
      </c>
      <c r="N31" s="149"/>
      <c r="O31" s="150"/>
      <c r="P31" s="150"/>
      <c r="Q31" s="150"/>
      <c r="R31" s="150"/>
    </row>
    <row r="32" spans="1:18" s="139" customFormat="1" ht="15">
      <c r="A32" s="152" t="s">
        <v>409</v>
      </c>
      <c r="B32" s="151" t="s">
        <v>404</v>
      </c>
      <c r="C32" s="151" t="s">
        <v>404</v>
      </c>
      <c r="D32" s="151">
        <v>-0.05415367621291924</v>
      </c>
      <c r="E32" s="151">
        <v>-0.05992308959025693</v>
      </c>
      <c r="F32" s="433">
        <v>-0.048074994931659426</v>
      </c>
      <c r="N32" s="149"/>
      <c r="O32" s="150"/>
      <c r="P32" s="150"/>
      <c r="Q32" s="150"/>
      <c r="R32" s="150"/>
    </row>
    <row r="33" spans="1:18" s="139" customFormat="1" ht="15">
      <c r="A33" s="152" t="s">
        <v>410</v>
      </c>
      <c r="B33" s="151" t="s">
        <v>404</v>
      </c>
      <c r="C33" s="151" t="s">
        <v>404</v>
      </c>
      <c r="D33" s="151">
        <v>-0.05415367621291924</v>
      </c>
      <c r="E33" s="151">
        <v>-0.05992308959025693</v>
      </c>
      <c r="F33" s="433">
        <v>-0.13300283338907806</v>
      </c>
      <c r="N33" s="149"/>
      <c r="O33" s="150"/>
      <c r="P33" s="150"/>
      <c r="Q33" s="150"/>
      <c r="R33" s="150"/>
    </row>
    <row r="34" spans="1:18" s="139" customFormat="1" ht="15">
      <c r="A34" s="152" t="s">
        <v>85</v>
      </c>
      <c r="B34" s="151" t="s">
        <v>404</v>
      </c>
      <c r="C34" s="151">
        <v>-0.9646205334622926</v>
      </c>
      <c r="D34" s="151" t="s">
        <v>404</v>
      </c>
      <c r="E34" s="151">
        <v>-0.1778363575823249</v>
      </c>
      <c r="F34" s="433">
        <v>0.0949652652912128</v>
      </c>
      <c r="N34" s="149"/>
      <c r="O34" s="150"/>
      <c r="P34" s="150"/>
      <c r="Q34" s="150"/>
      <c r="R34" s="150"/>
    </row>
    <row r="35" spans="1:18" s="139" customFormat="1" ht="15">
      <c r="A35" s="152" t="s">
        <v>405</v>
      </c>
      <c r="B35" s="151" t="s">
        <v>404</v>
      </c>
      <c r="C35" s="151">
        <v>-0.9646205334622926</v>
      </c>
      <c r="D35" s="151" t="s">
        <v>404</v>
      </c>
      <c r="E35" s="151">
        <v>-0.17700253980492908</v>
      </c>
      <c r="F35" s="433">
        <v>0.06936292340715594</v>
      </c>
      <c r="N35" s="149"/>
      <c r="O35" s="150"/>
      <c r="P35" s="150"/>
      <c r="Q35" s="150"/>
      <c r="R35" s="150"/>
    </row>
    <row r="36" spans="1:18" s="139" customFormat="1" ht="15">
      <c r="A36" s="152" t="s">
        <v>406</v>
      </c>
      <c r="B36" s="151" t="s">
        <v>404</v>
      </c>
      <c r="C36" s="151">
        <v>-0.9318322846007583</v>
      </c>
      <c r="D36" s="151" t="s">
        <v>404</v>
      </c>
      <c r="E36" s="151">
        <v>-0.1620728101676618</v>
      </c>
      <c r="F36" s="433">
        <v>0.1274911522515052</v>
      </c>
      <c r="N36" s="149"/>
      <c r="O36" s="150"/>
      <c r="P36" s="150"/>
      <c r="Q36" s="150"/>
      <c r="R36" s="150"/>
    </row>
    <row r="37" spans="1:18" s="139" customFormat="1" ht="15">
      <c r="A37" s="152" t="s">
        <v>479</v>
      </c>
      <c r="B37" s="151" t="s">
        <v>404</v>
      </c>
      <c r="C37" s="151">
        <v>-1.4338484042819122</v>
      </c>
      <c r="D37" s="151" t="s">
        <v>404</v>
      </c>
      <c r="E37" s="151">
        <v>-0.2903899444339565</v>
      </c>
      <c r="F37" s="433">
        <v>0.010364709869386366</v>
      </c>
      <c r="N37" s="149"/>
      <c r="O37" s="150"/>
      <c r="P37" s="150"/>
      <c r="Q37" s="150"/>
      <c r="R37" s="150"/>
    </row>
    <row r="38" spans="1:18" s="139" customFormat="1" ht="15">
      <c r="A38" s="152" t="s">
        <v>480</v>
      </c>
      <c r="B38" s="151" t="s">
        <v>404</v>
      </c>
      <c r="C38" s="151">
        <v>-0.40749504795605174</v>
      </c>
      <c r="D38" s="151" t="s">
        <v>404</v>
      </c>
      <c r="E38" s="151">
        <v>0.26994077550324824</v>
      </c>
      <c r="F38" s="433">
        <v>0.010364709869386366</v>
      </c>
      <c r="N38" s="149"/>
      <c r="O38" s="150"/>
      <c r="P38" s="150"/>
      <c r="Q38" s="150"/>
      <c r="R38" s="150"/>
    </row>
    <row r="39" spans="1:18" s="139" customFormat="1" ht="15">
      <c r="A39" s="153" t="s">
        <v>389</v>
      </c>
      <c r="B39" s="151" t="s">
        <v>404</v>
      </c>
      <c r="C39" s="151">
        <v>-0.7946963149082585</v>
      </c>
      <c r="D39" s="151" t="s">
        <v>404</v>
      </c>
      <c r="E39" s="151">
        <v>-0.1660014001703435</v>
      </c>
      <c r="F39" s="433">
        <v>0.038035853578432116</v>
      </c>
      <c r="N39" s="149"/>
      <c r="O39" s="150"/>
      <c r="P39" s="150"/>
      <c r="Q39" s="150"/>
      <c r="R39" s="150"/>
    </row>
    <row r="40" spans="1:18" s="139" customFormat="1" ht="15">
      <c r="A40" s="153" t="s">
        <v>481</v>
      </c>
      <c r="B40" s="151" t="s">
        <v>404</v>
      </c>
      <c r="C40" s="151" t="s">
        <v>404</v>
      </c>
      <c r="D40" s="151">
        <v>-0.05415367621291924</v>
      </c>
      <c r="E40" s="151">
        <v>-0.05418762688744466</v>
      </c>
      <c r="F40" s="433">
        <v>0.06443304393323751</v>
      </c>
      <c r="N40" s="149"/>
      <c r="O40" s="150"/>
      <c r="P40" s="150"/>
      <c r="Q40" s="150"/>
      <c r="R40" s="150"/>
    </row>
    <row r="41" spans="1:18" s="139" customFormat="1" ht="15">
      <c r="A41" s="154" t="s">
        <v>393</v>
      </c>
      <c r="B41" s="155">
        <v>-1.0895008224661091</v>
      </c>
      <c r="C41" s="155">
        <v>-1.958840005413259</v>
      </c>
      <c r="D41" s="155" t="s">
        <v>404</v>
      </c>
      <c r="E41" s="155">
        <v>0.10589057250202327</v>
      </c>
      <c r="F41" s="434">
        <v>0.010364709869386366</v>
      </c>
      <c r="N41" s="149"/>
      <c r="O41" s="150"/>
      <c r="P41" s="150"/>
      <c r="Q41" s="150"/>
      <c r="R41" s="150"/>
    </row>
    <row r="42" spans="1:18" s="139" customFormat="1" ht="15">
      <c r="A42" s="154" t="s">
        <v>149</v>
      </c>
      <c r="B42" s="155">
        <v>-15.129021482286612</v>
      </c>
      <c r="C42" s="155">
        <v>-0.6159848538280811</v>
      </c>
      <c r="D42" s="155" t="s">
        <v>404</v>
      </c>
      <c r="E42" s="155">
        <v>-0.05439427127462351</v>
      </c>
      <c r="F42" s="434">
        <v>0.010364709869386366</v>
      </c>
      <c r="N42" s="149"/>
      <c r="O42" s="150"/>
      <c r="P42" s="150"/>
      <c r="Q42" s="150"/>
      <c r="R42" s="150"/>
    </row>
    <row r="43" spans="1:18" s="139" customFormat="1" ht="15">
      <c r="A43" s="153" t="s">
        <v>144</v>
      </c>
      <c r="B43" s="155">
        <v>-0.07722434903195159</v>
      </c>
      <c r="C43" s="155" t="s">
        <v>404</v>
      </c>
      <c r="D43" s="155" t="s">
        <v>404</v>
      </c>
      <c r="E43" s="155" t="s">
        <v>404</v>
      </c>
      <c r="F43" s="434">
        <v>0.010364709869386366</v>
      </c>
      <c r="N43" s="149"/>
      <c r="O43" s="150"/>
      <c r="P43" s="150"/>
      <c r="Q43" s="150"/>
      <c r="R43" s="150"/>
    </row>
    <row r="44" spans="1:18" s="139" customFormat="1" ht="15">
      <c r="A44" s="153" t="s">
        <v>145</v>
      </c>
      <c r="B44" s="155" t="s">
        <v>404</v>
      </c>
      <c r="C44" s="155">
        <v>-0.0021196878507465052</v>
      </c>
      <c r="D44" s="155" t="s">
        <v>404</v>
      </c>
      <c r="E44" s="155" t="s">
        <v>404</v>
      </c>
      <c r="F44" s="434">
        <v>0.010364709869386366</v>
      </c>
      <c r="N44" s="149"/>
      <c r="O44" s="150"/>
      <c r="P44" s="150"/>
      <c r="Q44" s="150"/>
      <c r="R44" s="150"/>
    </row>
    <row r="45" spans="1:18" s="139" customFormat="1" ht="15">
      <c r="A45" s="153" t="s">
        <v>146</v>
      </c>
      <c r="B45" s="155" t="s">
        <v>404</v>
      </c>
      <c r="C45" s="155">
        <v>-0.23699978663483948</v>
      </c>
      <c r="D45" s="155" t="s">
        <v>404</v>
      </c>
      <c r="E45" s="155" t="s">
        <v>404</v>
      </c>
      <c r="F45" s="434">
        <v>0.010364709869386366</v>
      </c>
      <c r="N45" s="149"/>
      <c r="O45" s="150"/>
      <c r="P45" s="150"/>
      <c r="Q45" s="150"/>
      <c r="R45" s="150"/>
    </row>
    <row r="46" spans="1:6" s="139" customFormat="1" ht="15.75" thickBot="1">
      <c r="A46" s="431" t="s">
        <v>323</v>
      </c>
      <c r="B46" s="156">
        <v>-1.0863663260371863</v>
      </c>
      <c r="C46" s="156">
        <v>-0.4975803038152682</v>
      </c>
      <c r="D46" s="156" t="s">
        <v>404</v>
      </c>
      <c r="E46" s="156">
        <v>0.04932483864600605</v>
      </c>
      <c r="F46" s="435">
        <v>0.010364709869386368</v>
      </c>
    </row>
    <row r="47" spans="1:9" s="139" customFormat="1" ht="33" customHeight="1">
      <c r="A47" s="535" t="s">
        <v>438</v>
      </c>
      <c r="B47" s="638" t="s">
        <v>44</v>
      </c>
      <c r="C47" s="593"/>
      <c r="D47" s="593"/>
      <c r="E47" s="593"/>
      <c r="F47" s="593"/>
      <c r="G47" s="593"/>
      <c r="H47" s="593"/>
      <c r="I47" s="593"/>
    </row>
    <row r="48" spans="2:9" s="139" customFormat="1" ht="30.75" customHeight="1">
      <c r="B48" s="638" t="s">
        <v>45</v>
      </c>
      <c r="C48" s="593"/>
      <c r="D48" s="593"/>
      <c r="E48" s="593"/>
      <c r="F48" s="593"/>
      <c r="G48" s="593"/>
      <c r="H48" s="593"/>
      <c r="I48" s="593"/>
    </row>
    <row r="49" spans="1:13" ht="15.75">
      <c r="A49" s="25" t="s">
        <v>386</v>
      </c>
      <c r="I49" s="28"/>
      <c r="J49" s="28"/>
      <c r="K49" s="28"/>
      <c r="L49" s="28"/>
      <c r="M49" s="41"/>
    </row>
    <row r="50" spans="1:7" ht="31.5" customHeight="1">
      <c r="A50" s="639" t="s">
        <v>31</v>
      </c>
      <c r="B50" s="571"/>
      <c r="C50" s="571"/>
      <c r="D50" s="571"/>
      <c r="E50" s="571"/>
      <c r="F50" s="571"/>
      <c r="G50" s="571"/>
    </row>
    <row r="51" ht="13.5" thickBot="1">
      <c r="A51" s="105"/>
    </row>
    <row r="52" spans="1:15" s="139" customFormat="1" ht="50.25" customHeight="1">
      <c r="A52" s="158"/>
      <c r="B52" s="649" t="s">
        <v>81</v>
      </c>
      <c r="C52" s="650"/>
      <c r="D52" s="650"/>
      <c r="E52" s="650"/>
      <c r="F52" s="651"/>
      <c r="G52" s="159"/>
      <c r="H52" s="159"/>
      <c r="I52" s="159"/>
      <c r="J52" s="159"/>
      <c r="K52" s="160"/>
      <c r="L52" s="160"/>
      <c r="M52" s="160"/>
      <c r="N52" s="160"/>
      <c r="O52" s="160"/>
    </row>
    <row r="53" spans="1:15" s="139" customFormat="1" ht="18.75" customHeight="1">
      <c r="A53" s="161"/>
      <c r="B53" s="655" t="s">
        <v>291</v>
      </c>
      <c r="C53" s="656"/>
      <c r="D53" s="656"/>
      <c r="E53" s="656"/>
      <c r="F53" s="657"/>
      <c r="G53" s="159"/>
      <c r="H53" s="159"/>
      <c r="I53" s="159"/>
      <c r="J53" s="159"/>
      <c r="K53" s="160"/>
      <c r="L53" s="160"/>
      <c r="M53" s="160"/>
      <c r="N53" s="160"/>
      <c r="O53" s="160"/>
    </row>
    <row r="54" spans="1:15" s="139" customFormat="1" ht="62.25" customHeight="1" thickBot="1">
      <c r="A54" s="162" t="s">
        <v>403</v>
      </c>
      <c r="B54" s="163" t="s">
        <v>320</v>
      </c>
      <c r="C54" s="164" t="s">
        <v>69</v>
      </c>
      <c r="D54" s="165" t="s">
        <v>70</v>
      </c>
      <c r="E54" s="164" t="s">
        <v>71</v>
      </c>
      <c r="F54" s="166" t="s">
        <v>77</v>
      </c>
      <c r="G54" s="167"/>
      <c r="H54" s="168"/>
      <c r="I54" s="168"/>
      <c r="J54" s="167"/>
      <c r="K54" s="168"/>
      <c r="L54" s="168"/>
      <c r="M54" s="168"/>
      <c r="N54" s="167"/>
      <c r="O54" s="168"/>
    </row>
    <row r="55" spans="1:17" s="139" customFormat="1" ht="15.75">
      <c r="A55" s="169" t="s">
        <v>373</v>
      </c>
      <c r="B55" s="148">
        <v>-126.18414640846251</v>
      </c>
      <c r="C55" s="148">
        <v>-206.4222195235871</v>
      </c>
      <c r="D55" s="148" t="s">
        <v>404</v>
      </c>
      <c r="E55" s="148">
        <v>0.41604558999999997</v>
      </c>
      <c r="F55" s="432">
        <v>0.5274</v>
      </c>
      <c r="G55" s="170"/>
      <c r="H55" s="170"/>
      <c r="I55" s="170"/>
      <c r="J55" s="170"/>
      <c r="K55" s="170"/>
      <c r="L55" s="170"/>
      <c r="M55" s="170"/>
      <c r="N55" s="171"/>
      <c r="O55" s="171"/>
      <c r="P55" s="172"/>
      <c r="Q55" s="172"/>
    </row>
    <row r="56" spans="1:17" s="139" customFormat="1" ht="15.75">
      <c r="A56" s="173" t="s">
        <v>374</v>
      </c>
      <c r="B56" s="151">
        <v>-30.788375936154804</v>
      </c>
      <c r="C56" s="151">
        <v>-19.966201047692305</v>
      </c>
      <c r="D56" s="151" t="s">
        <v>404</v>
      </c>
      <c r="E56" s="151">
        <v>-17.238712984064612</v>
      </c>
      <c r="F56" s="433">
        <v>0.5274</v>
      </c>
      <c r="G56" s="133"/>
      <c r="H56" s="170"/>
      <c r="I56" s="170"/>
      <c r="J56" s="170"/>
      <c r="K56" s="170"/>
      <c r="L56" s="170"/>
      <c r="M56" s="170"/>
      <c r="N56" s="171"/>
      <c r="O56" s="171"/>
      <c r="P56" s="172"/>
      <c r="Q56" s="172"/>
    </row>
    <row r="57" spans="1:18" s="139" customFormat="1" ht="15">
      <c r="A57" s="147" t="s">
        <v>321</v>
      </c>
      <c r="B57" s="151">
        <v>-122.3076862684625</v>
      </c>
      <c r="C57" s="151">
        <v>-82.58964421068492</v>
      </c>
      <c r="D57" s="151" t="s">
        <v>404</v>
      </c>
      <c r="E57" s="151">
        <v>0.393760965</v>
      </c>
      <c r="F57" s="433">
        <v>0.5274</v>
      </c>
      <c r="N57" s="149"/>
      <c r="O57" s="150"/>
      <c r="P57" s="150"/>
      <c r="Q57" s="150"/>
      <c r="R57" s="150"/>
    </row>
    <row r="58" spans="1:18" s="139" customFormat="1" ht="15">
      <c r="A58" s="147" t="s">
        <v>322</v>
      </c>
      <c r="B58" s="151">
        <v>-126.18414640846251</v>
      </c>
      <c r="C58" s="151">
        <v>-206.4222195235871</v>
      </c>
      <c r="D58" s="151" t="s">
        <v>404</v>
      </c>
      <c r="E58" s="151">
        <v>0.41604558999999997</v>
      </c>
      <c r="F58" s="433">
        <v>0.5274</v>
      </c>
      <c r="N58" s="149"/>
      <c r="O58" s="150"/>
      <c r="P58" s="150"/>
      <c r="Q58" s="150"/>
      <c r="R58" s="150"/>
    </row>
    <row r="59" spans="1:17" s="139" customFormat="1" ht="15.75">
      <c r="A59" s="173" t="s">
        <v>88</v>
      </c>
      <c r="B59" s="151">
        <v>-30.788375936154804</v>
      </c>
      <c r="C59" s="151">
        <v>-19.966201047692305</v>
      </c>
      <c r="D59" s="151" t="s">
        <v>404</v>
      </c>
      <c r="E59" s="151">
        <v>-17.238712984064612</v>
      </c>
      <c r="F59" s="433">
        <v>0.5274</v>
      </c>
      <c r="G59" s="133"/>
      <c r="H59" s="174"/>
      <c r="I59" s="170"/>
      <c r="J59" s="174"/>
      <c r="K59" s="174"/>
      <c r="L59" s="174"/>
      <c r="M59" s="174"/>
      <c r="N59" s="171"/>
      <c r="O59" s="171"/>
      <c r="P59" s="172"/>
      <c r="Q59" s="172"/>
    </row>
    <row r="60" spans="1:17" s="139" customFormat="1" ht="15.75">
      <c r="A60" s="173" t="s">
        <v>375</v>
      </c>
      <c r="B60" s="151">
        <v>-7.534443873399482</v>
      </c>
      <c r="C60" s="151">
        <v>-2.125409819699291</v>
      </c>
      <c r="D60" s="151" t="s">
        <v>404</v>
      </c>
      <c r="E60" s="151">
        <v>0.38039018999999996</v>
      </c>
      <c r="F60" s="433">
        <v>0.5274</v>
      </c>
      <c r="G60" s="170"/>
      <c r="H60" s="170"/>
      <c r="I60" s="170"/>
      <c r="J60" s="170"/>
      <c r="K60" s="170"/>
      <c r="L60" s="170"/>
      <c r="M60" s="170"/>
      <c r="N60" s="171"/>
      <c r="O60" s="171"/>
      <c r="P60" s="172"/>
      <c r="Q60" s="172"/>
    </row>
    <row r="61" spans="1:17" s="139" customFormat="1" ht="15.75">
      <c r="A61" s="173" t="s">
        <v>376</v>
      </c>
      <c r="B61" s="151">
        <v>-63.68260215404907</v>
      </c>
      <c r="C61" s="151">
        <v>-50.90402796403503</v>
      </c>
      <c r="D61" s="151" t="s">
        <v>404</v>
      </c>
      <c r="E61" s="151">
        <v>-6.366324598000001</v>
      </c>
      <c r="F61" s="433">
        <v>0.5274</v>
      </c>
      <c r="H61" s="170"/>
      <c r="I61" s="170"/>
      <c r="J61" s="170"/>
      <c r="K61" s="170"/>
      <c r="L61" s="170"/>
      <c r="M61" s="170"/>
      <c r="N61" s="171"/>
      <c r="O61" s="171"/>
      <c r="P61" s="172"/>
      <c r="Q61" s="172"/>
    </row>
    <row r="62" spans="1:17" s="139" customFormat="1" ht="15.75">
      <c r="A62" s="173" t="s">
        <v>377</v>
      </c>
      <c r="B62" s="151">
        <v>-73.91970334867135</v>
      </c>
      <c r="C62" s="151">
        <v>-56.01033482591876</v>
      </c>
      <c r="D62" s="151" t="s">
        <v>404</v>
      </c>
      <c r="E62" s="151">
        <v>-6.366324598000001</v>
      </c>
      <c r="F62" s="433">
        <v>0.5274</v>
      </c>
      <c r="G62" s="170"/>
      <c r="H62" s="170"/>
      <c r="I62" s="170"/>
      <c r="J62" s="170"/>
      <c r="K62" s="170"/>
      <c r="L62" s="170"/>
      <c r="M62" s="170"/>
      <c r="N62" s="171"/>
      <c r="O62" s="171"/>
      <c r="P62" s="172"/>
      <c r="Q62" s="172"/>
    </row>
    <row r="63" spans="1:17" s="139" customFormat="1" ht="15.75">
      <c r="A63" s="173" t="s">
        <v>378</v>
      </c>
      <c r="B63" s="151">
        <v>-70.6735290261136</v>
      </c>
      <c r="C63" s="151">
        <v>-52.83194641398731</v>
      </c>
      <c r="D63" s="151" t="s">
        <v>404</v>
      </c>
      <c r="E63" s="151">
        <v>-3.1626869080000004</v>
      </c>
      <c r="F63" s="433">
        <v>0.5274</v>
      </c>
      <c r="G63" s="170"/>
      <c r="H63" s="170"/>
      <c r="I63" s="170"/>
      <c r="J63" s="170"/>
      <c r="K63" s="170"/>
      <c r="L63" s="170"/>
      <c r="M63" s="170"/>
      <c r="N63" s="171"/>
      <c r="O63" s="171"/>
      <c r="P63" s="172"/>
      <c r="Q63" s="172"/>
    </row>
    <row r="64" spans="1:17" s="139" customFormat="1" ht="15.75">
      <c r="A64" s="173" t="s">
        <v>372</v>
      </c>
      <c r="B64" s="151">
        <v>-21.905319358198884</v>
      </c>
      <c r="C64" s="151">
        <v>-15.418162655001067</v>
      </c>
      <c r="D64" s="151" t="s">
        <v>404</v>
      </c>
      <c r="E64" s="151">
        <v>-2.214609822000001</v>
      </c>
      <c r="F64" s="433">
        <v>0.2288005438562834</v>
      </c>
      <c r="G64" s="170"/>
      <c r="H64" s="170"/>
      <c r="I64" s="170"/>
      <c r="J64" s="170"/>
      <c r="K64" s="170"/>
      <c r="L64" s="170"/>
      <c r="M64" s="170"/>
      <c r="N64" s="171"/>
      <c r="O64" s="171"/>
      <c r="P64" s="172"/>
      <c r="Q64" s="172"/>
    </row>
    <row r="65" spans="1:17" s="139" customFormat="1" ht="15.75">
      <c r="A65" s="173" t="s">
        <v>476</v>
      </c>
      <c r="B65" s="151">
        <v>-33.209053902662504</v>
      </c>
      <c r="C65" s="151">
        <v>-0.685651516036195</v>
      </c>
      <c r="D65" s="151" t="s">
        <v>404</v>
      </c>
      <c r="E65" s="151">
        <v>-1.5781609320000003</v>
      </c>
      <c r="F65" s="433">
        <v>0.40683292887417766</v>
      </c>
      <c r="G65" s="170"/>
      <c r="H65" s="170"/>
      <c r="I65" s="170"/>
      <c r="J65" s="170"/>
      <c r="K65" s="170"/>
      <c r="L65" s="170"/>
      <c r="M65" s="170"/>
      <c r="N65" s="171"/>
      <c r="O65" s="171"/>
      <c r="P65" s="172"/>
      <c r="Q65" s="172"/>
    </row>
    <row r="66" spans="1:17" s="139" customFormat="1" ht="15.75">
      <c r="A66" s="173" t="s">
        <v>370</v>
      </c>
      <c r="B66" s="151">
        <v>-36.447849603457556</v>
      </c>
      <c r="C66" s="151">
        <v>-16.485950938072122</v>
      </c>
      <c r="D66" s="151" t="s">
        <v>404</v>
      </c>
      <c r="E66" s="151">
        <v>-2.5380043000000008</v>
      </c>
      <c r="F66" s="433">
        <v>0.4212609788548744</v>
      </c>
      <c r="G66" s="170"/>
      <c r="H66" s="170"/>
      <c r="I66" s="170"/>
      <c r="J66" s="170"/>
      <c r="K66" s="170"/>
      <c r="L66" s="170"/>
      <c r="M66" s="170"/>
      <c r="N66" s="171"/>
      <c r="O66" s="171"/>
      <c r="P66" s="172"/>
      <c r="Q66" s="172"/>
    </row>
    <row r="67" spans="1:17" s="139" customFormat="1" ht="15.75">
      <c r="A67" s="173" t="s">
        <v>371</v>
      </c>
      <c r="B67" s="151">
        <v>-36.58151593491904</v>
      </c>
      <c r="C67" s="151">
        <v>-10.081037231692992</v>
      </c>
      <c r="D67" s="151" t="s">
        <v>404</v>
      </c>
      <c r="E67" s="151">
        <v>-2.1279672000000005</v>
      </c>
      <c r="F67" s="433">
        <v>0.007140640350756455</v>
      </c>
      <c r="G67" s="170"/>
      <c r="H67" s="170"/>
      <c r="I67" s="170"/>
      <c r="J67" s="170"/>
      <c r="K67" s="170"/>
      <c r="L67" s="170"/>
      <c r="M67" s="170"/>
      <c r="N67" s="171"/>
      <c r="O67" s="171"/>
      <c r="P67" s="172"/>
      <c r="Q67" s="172"/>
    </row>
    <row r="68" spans="1:17" s="139" customFormat="1" ht="15.75">
      <c r="A68" s="173" t="s">
        <v>477</v>
      </c>
      <c r="B68" s="151">
        <v>-39.868569513745044</v>
      </c>
      <c r="C68" s="151">
        <v>-11.419354648913075</v>
      </c>
      <c r="D68" s="151" t="s">
        <v>404</v>
      </c>
      <c r="E68" s="151">
        <v>-2.5380043000000008</v>
      </c>
      <c r="F68" s="433">
        <v>0.4212609788548744</v>
      </c>
      <c r="G68" s="170"/>
      <c r="H68" s="170"/>
      <c r="I68" s="170"/>
      <c r="J68" s="170"/>
      <c r="K68" s="170"/>
      <c r="L68" s="170"/>
      <c r="M68" s="170"/>
      <c r="N68" s="171"/>
      <c r="O68" s="171"/>
      <c r="P68" s="172"/>
      <c r="Q68" s="172"/>
    </row>
    <row r="69" spans="1:17" s="139" customFormat="1" ht="15.75">
      <c r="A69" s="173" t="s">
        <v>478</v>
      </c>
      <c r="B69" s="151">
        <v>-35.30029729433088</v>
      </c>
      <c r="C69" s="151">
        <v>-0.529755650907809</v>
      </c>
      <c r="D69" s="151" t="s">
        <v>404</v>
      </c>
      <c r="E69" s="151">
        <v>-2.1279672000000005</v>
      </c>
      <c r="F69" s="433">
        <v>0.007140640350756455</v>
      </c>
      <c r="G69" s="170"/>
      <c r="H69" s="170"/>
      <c r="I69" s="170"/>
      <c r="J69" s="170"/>
      <c r="K69" s="170"/>
      <c r="L69" s="170"/>
      <c r="M69" s="170"/>
      <c r="N69" s="171"/>
      <c r="O69" s="171"/>
      <c r="P69" s="172"/>
      <c r="Q69" s="172"/>
    </row>
    <row r="70" spans="1:17" s="139" customFormat="1" ht="15.75">
      <c r="A70" s="175" t="s">
        <v>407</v>
      </c>
      <c r="B70" s="151">
        <v>-3.5295425199780004</v>
      </c>
      <c r="C70" s="151">
        <v>0.5879411999999999</v>
      </c>
      <c r="D70" s="151" t="s">
        <v>404</v>
      </c>
      <c r="E70" s="151">
        <v>-2.662798200000001</v>
      </c>
      <c r="F70" s="433">
        <v>0.37309980256688324</v>
      </c>
      <c r="G70" s="170"/>
      <c r="H70" s="170"/>
      <c r="I70" s="170"/>
      <c r="J70" s="170"/>
      <c r="K70" s="170"/>
      <c r="L70" s="170"/>
      <c r="M70" s="170"/>
      <c r="N70" s="171"/>
      <c r="O70" s="171"/>
      <c r="P70" s="172"/>
      <c r="Q70" s="172"/>
    </row>
    <row r="71" spans="1:17" s="139" customFormat="1" ht="15.75">
      <c r="A71" s="175" t="s">
        <v>68</v>
      </c>
      <c r="B71" s="151">
        <v>-11.505361024387001</v>
      </c>
      <c r="C71" s="151">
        <v>0.8583141599999997</v>
      </c>
      <c r="D71" s="151" t="s">
        <v>404</v>
      </c>
      <c r="E71" s="151">
        <v>-2.662798200000001</v>
      </c>
      <c r="F71" s="433">
        <v>0.37309980256688324</v>
      </c>
      <c r="G71" s="170"/>
      <c r="H71" s="170"/>
      <c r="I71" s="170"/>
      <c r="J71" s="170"/>
      <c r="K71" s="170"/>
      <c r="L71" s="170"/>
      <c r="M71" s="170"/>
      <c r="N71" s="171"/>
      <c r="O71" s="171"/>
      <c r="P71" s="172"/>
      <c r="Q71" s="172"/>
    </row>
    <row r="72" spans="1:17" s="139" customFormat="1" ht="15.75">
      <c r="A72" s="175" t="s">
        <v>379</v>
      </c>
      <c r="B72" s="151" t="s">
        <v>404</v>
      </c>
      <c r="C72" s="151" t="s">
        <v>404</v>
      </c>
      <c r="D72" s="151">
        <v>0.584</v>
      </c>
      <c r="E72" s="151">
        <v>-0.5484329800000002</v>
      </c>
      <c r="F72" s="433">
        <v>0.33429916812463745</v>
      </c>
      <c r="G72" s="170"/>
      <c r="H72" s="170"/>
      <c r="I72" s="170"/>
      <c r="J72" s="170"/>
      <c r="K72" s="170"/>
      <c r="L72" s="170"/>
      <c r="M72" s="170"/>
      <c r="N72" s="171"/>
      <c r="O72" s="171"/>
      <c r="P72" s="172"/>
      <c r="Q72" s="172"/>
    </row>
    <row r="73" spans="1:17" s="139" customFormat="1" ht="15.75">
      <c r="A73" s="175" t="s">
        <v>380</v>
      </c>
      <c r="B73" s="151" t="s">
        <v>404</v>
      </c>
      <c r="C73" s="151" t="s">
        <v>404</v>
      </c>
      <c r="D73" s="151">
        <v>0.584</v>
      </c>
      <c r="E73" s="151">
        <v>-0.7017512</v>
      </c>
      <c r="F73" s="433">
        <v>0.41272109972356535</v>
      </c>
      <c r="G73" s="170"/>
      <c r="H73" s="170"/>
      <c r="I73" s="170"/>
      <c r="J73" s="170"/>
      <c r="K73" s="170"/>
      <c r="L73" s="170"/>
      <c r="M73" s="170"/>
      <c r="N73" s="171"/>
      <c r="O73" s="171"/>
      <c r="P73" s="172"/>
      <c r="Q73" s="176"/>
    </row>
    <row r="74" spans="1:17" s="139" customFormat="1" ht="15.75">
      <c r="A74" s="175" t="s">
        <v>408</v>
      </c>
      <c r="B74" s="151" t="s">
        <v>404</v>
      </c>
      <c r="C74" s="151" t="s">
        <v>404</v>
      </c>
      <c r="D74" s="151">
        <v>0.584</v>
      </c>
      <c r="E74" s="151">
        <v>-0.7017512</v>
      </c>
      <c r="F74" s="433">
        <v>0.4622594971168542</v>
      </c>
      <c r="G74" s="170"/>
      <c r="H74" s="170"/>
      <c r="I74" s="170"/>
      <c r="J74" s="170"/>
      <c r="K74" s="170"/>
      <c r="L74" s="170"/>
      <c r="M74" s="170"/>
      <c r="N74" s="171"/>
      <c r="O74" s="171"/>
      <c r="P74" s="172"/>
      <c r="Q74" s="172"/>
    </row>
    <row r="75" spans="1:17" s="139" customFormat="1" ht="15.75">
      <c r="A75" s="175" t="s">
        <v>409</v>
      </c>
      <c r="B75" s="151" t="s">
        <v>404</v>
      </c>
      <c r="C75" s="151" t="s">
        <v>404</v>
      </c>
      <c r="D75" s="151">
        <v>0.584</v>
      </c>
      <c r="E75" s="151">
        <v>-0.7017512</v>
      </c>
      <c r="F75" s="433">
        <v>0.40528327454611024</v>
      </c>
      <c r="G75" s="170"/>
      <c r="H75" s="170"/>
      <c r="I75" s="170"/>
      <c r="J75" s="170"/>
      <c r="K75" s="170"/>
      <c r="L75" s="170"/>
      <c r="M75" s="170"/>
      <c r="N75" s="171"/>
      <c r="O75" s="171"/>
      <c r="P75" s="172"/>
      <c r="Q75" s="172"/>
    </row>
    <row r="76" spans="1:17" s="139" customFormat="1" ht="15.75">
      <c r="A76" s="175" t="s">
        <v>410</v>
      </c>
      <c r="B76" s="151" t="s">
        <v>404</v>
      </c>
      <c r="C76" s="151" t="s">
        <v>404</v>
      </c>
      <c r="D76" s="151">
        <v>0.584</v>
      </c>
      <c r="E76" s="151">
        <v>-0.7017512</v>
      </c>
      <c r="F76" s="433">
        <v>0.37309980256688324</v>
      </c>
      <c r="G76" s="170"/>
      <c r="H76" s="170"/>
      <c r="I76" s="170"/>
      <c r="J76" s="170"/>
      <c r="K76" s="170"/>
      <c r="L76" s="170"/>
      <c r="M76" s="170"/>
      <c r="N76" s="171"/>
      <c r="O76" s="171"/>
      <c r="P76" s="172"/>
      <c r="Q76" s="172"/>
    </row>
    <row r="77" spans="1:17" s="139" customFormat="1" ht="15.75">
      <c r="A77" s="175" t="s">
        <v>85</v>
      </c>
      <c r="B77" s="151" t="s">
        <v>404</v>
      </c>
      <c r="C77" s="151">
        <v>-22.941800000000004</v>
      </c>
      <c r="D77" s="151" t="s">
        <v>404</v>
      </c>
      <c r="E77" s="151">
        <v>-2.2239800611200007</v>
      </c>
      <c r="F77" s="433">
        <v>0.24490165835627137</v>
      </c>
      <c r="G77" s="139" t="s">
        <v>189</v>
      </c>
      <c r="H77" s="174"/>
      <c r="I77" s="170"/>
      <c r="J77" s="174"/>
      <c r="K77" s="170"/>
      <c r="L77" s="170"/>
      <c r="M77" s="170"/>
      <c r="N77" s="171"/>
      <c r="O77" s="171"/>
      <c r="P77" s="172"/>
      <c r="Q77" s="172"/>
    </row>
    <row r="78" spans="1:17" s="139" customFormat="1" ht="15.75">
      <c r="A78" s="175" t="s">
        <v>105</v>
      </c>
      <c r="B78" s="151" t="s">
        <v>404</v>
      </c>
      <c r="C78" s="151">
        <v>-22.941800000000004</v>
      </c>
      <c r="D78" s="151" t="s">
        <v>404</v>
      </c>
      <c r="E78" s="151">
        <v>-2.2132156958600007</v>
      </c>
      <c r="F78" s="433">
        <v>0.25983729591697496</v>
      </c>
      <c r="G78" s="139" t="s">
        <v>190</v>
      </c>
      <c r="H78" s="174"/>
      <c r="I78" s="174"/>
      <c r="J78" s="174"/>
      <c r="K78" s="170"/>
      <c r="L78" s="170"/>
      <c r="M78" s="170"/>
      <c r="N78" s="171"/>
      <c r="O78" s="171"/>
      <c r="P78" s="172"/>
      <c r="Q78" s="172"/>
    </row>
    <row r="79" spans="1:17" s="139" customFormat="1" ht="15.75">
      <c r="A79" s="175" t="s">
        <v>104</v>
      </c>
      <c r="B79" s="151" t="s">
        <v>404</v>
      </c>
      <c r="C79" s="151">
        <v>-13.951344262295084</v>
      </c>
      <c r="D79" s="151" t="s">
        <v>404</v>
      </c>
      <c r="E79" s="151">
        <v>-2.02047686562</v>
      </c>
      <c r="F79" s="433">
        <v>0.24907813048032917</v>
      </c>
      <c r="G79" s="139" t="s">
        <v>191</v>
      </c>
      <c r="H79" s="174"/>
      <c r="I79" s="174"/>
      <c r="J79" s="174"/>
      <c r="K79" s="170"/>
      <c r="L79" s="170"/>
      <c r="M79" s="170"/>
      <c r="N79" s="171"/>
      <c r="O79" s="171"/>
      <c r="P79" s="172"/>
      <c r="Q79" s="172"/>
    </row>
    <row r="80" spans="1:17" s="139" customFormat="1" ht="15.75">
      <c r="A80" s="175" t="s">
        <v>479</v>
      </c>
      <c r="B80" s="151" t="s">
        <v>404</v>
      </c>
      <c r="C80" s="151">
        <v>-74.80620648177901</v>
      </c>
      <c r="D80" s="151" t="s">
        <v>404</v>
      </c>
      <c r="E80" s="151">
        <v>0.38458494294117646</v>
      </c>
      <c r="F80" s="433">
        <v>0.5274</v>
      </c>
      <c r="G80" s="170"/>
      <c r="H80" s="170"/>
      <c r="I80" s="170"/>
      <c r="J80" s="170"/>
      <c r="K80" s="170"/>
      <c r="L80" s="170"/>
      <c r="M80" s="170"/>
      <c r="N80" s="171"/>
      <c r="O80" s="171"/>
      <c r="P80" s="172"/>
      <c r="Q80" s="172"/>
    </row>
    <row r="81" spans="1:17" s="139" customFormat="1" ht="15.75">
      <c r="A81" s="175" t="s">
        <v>480</v>
      </c>
      <c r="B81" s="151" t="s">
        <v>404</v>
      </c>
      <c r="C81" s="151">
        <v>-52.41508873467871</v>
      </c>
      <c r="D81" s="151" t="s">
        <v>404</v>
      </c>
      <c r="E81" s="151">
        <v>-5.091090177708739</v>
      </c>
      <c r="F81" s="433">
        <v>0.5274</v>
      </c>
      <c r="G81" s="170"/>
      <c r="H81" s="170"/>
      <c r="I81" s="170"/>
      <c r="J81" s="170"/>
      <c r="K81" s="170"/>
      <c r="L81" s="170"/>
      <c r="M81" s="170"/>
      <c r="N81" s="171"/>
      <c r="O81" s="171"/>
      <c r="P81" s="172"/>
      <c r="Q81" s="172"/>
    </row>
    <row r="82" spans="1:17" s="139" customFormat="1" ht="15.75">
      <c r="A82" s="177" t="s">
        <v>389</v>
      </c>
      <c r="B82" s="151" t="s">
        <v>404</v>
      </c>
      <c r="C82" s="151">
        <v>-16.907756338264964</v>
      </c>
      <c r="D82" s="151" t="s">
        <v>404</v>
      </c>
      <c r="E82" s="151">
        <v>-2.67021257080329</v>
      </c>
      <c r="F82" s="433">
        <v>0.303848637329311</v>
      </c>
      <c r="G82" s="170"/>
      <c r="H82" s="170"/>
      <c r="I82" s="170"/>
      <c r="J82" s="170"/>
      <c r="K82" s="170"/>
      <c r="L82" s="170"/>
      <c r="M82" s="170"/>
      <c r="N82" s="171"/>
      <c r="O82" s="171"/>
      <c r="P82" s="172"/>
      <c r="Q82" s="172"/>
    </row>
    <row r="83" spans="1:18" s="139" customFormat="1" ht="15.75">
      <c r="A83" s="177" t="s">
        <v>481</v>
      </c>
      <c r="B83" s="151" t="s">
        <v>404</v>
      </c>
      <c r="C83" s="151" t="s">
        <v>404</v>
      </c>
      <c r="D83" s="151">
        <v>0.584</v>
      </c>
      <c r="E83" s="151">
        <v>-0.5823741510709851</v>
      </c>
      <c r="F83" s="433">
        <v>0.37484811765360015</v>
      </c>
      <c r="G83" s="170"/>
      <c r="H83" s="170"/>
      <c r="I83" s="170"/>
      <c r="J83" s="170"/>
      <c r="K83" s="170"/>
      <c r="L83" s="170"/>
      <c r="M83" s="170"/>
      <c r="N83" s="171"/>
      <c r="O83" s="171"/>
      <c r="P83" s="172"/>
      <c r="Q83" s="172"/>
      <c r="R83" s="25"/>
    </row>
    <row r="84" spans="1:18" s="139" customFormat="1" ht="15.75">
      <c r="A84" s="178" t="s">
        <v>393</v>
      </c>
      <c r="B84" s="155">
        <v>-91.06472000000002</v>
      </c>
      <c r="C84" s="155">
        <v>-105.5825270025331</v>
      </c>
      <c r="D84" s="155" t="s">
        <v>404</v>
      </c>
      <c r="E84" s="155">
        <v>-4.7778236</v>
      </c>
      <c r="F84" s="434">
        <v>0.5274</v>
      </c>
      <c r="G84" s="170"/>
      <c r="H84" s="170"/>
      <c r="I84" s="170"/>
      <c r="J84" s="170"/>
      <c r="K84" s="170"/>
      <c r="L84" s="170"/>
      <c r="M84" s="170"/>
      <c r="N84" s="171"/>
      <c r="O84" s="171"/>
      <c r="P84" s="172"/>
      <c r="Q84" s="172"/>
      <c r="R84" s="25"/>
    </row>
    <row r="85" spans="1:17" s="139" customFormat="1" ht="15">
      <c r="A85" s="154" t="s">
        <v>149</v>
      </c>
      <c r="B85" s="155">
        <v>-956.7420820537287</v>
      </c>
      <c r="C85" s="155">
        <v>-43.43683991330532</v>
      </c>
      <c r="D85" s="155" t="s">
        <v>404</v>
      </c>
      <c r="E85" s="155">
        <v>-4.69232161070728</v>
      </c>
      <c r="F85" s="434">
        <v>0.5274</v>
      </c>
      <c r="H85" s="170"/>
      <c r="I85" s="174"/>
      <c r="J85" s="170"/>
      <c r="K85" s="170"/>
      <c r="L85" s="170"/>
      <c r="M85" s="170"/>
      <c r="N85" s="171"/>
      <c r="O85" s="171"/>
      <c r="P85" s="172"/>
      <c r="Q85" s="172"/>
    </row>
    <row r="86" spans="1:18" s="139" customFormat="1" ht="15.75">
      <c r="A86" s="177" t="s">
        <v>144</v>
      </c>
      <c r="B86" s="155">
        <v>-5.13147895969296</v>
      </c>
      <c r="C86" s="155" t="s">
        <v>404</v>
      </c>
      <c r="D86" s="155" t="s">
        <v>404</v>
      </c>
      <c r="E86" s="155" t="s">
        <v>404</v>
      </c>
      <c r="F86" s="434">
        <v>0.5274</v>
      </c>
      <c r="G86" s="170"/>
      <c r="H86" s="170"/>
      <c r="I86" s="170"/>
      <c r="J86" s="170"/>
      <c r="K86" s="170"/>
      <c r="L86" s="170"/>
      <c r="M86" s="170"/>
      <c r="N86" s="171"/>
      <c r="O86" s="171"/>
      <c r="P86" s="172"/>
      <c r="Q86" s="172"/>
      <c r="R86" s="25"/>
    </row>
    <row r="87" spans="1:18" s="139" customFormat="1" ht="15.75">
      <c r="A87" s="177" t="s">
        <v>145</v>
      </c>
      <c r="B87" s="155" t="s">
        <v>404</v>
      </c>
      <c r="C87" s="155">
        <v>-0.10682211567448255</v>
      </c>
      <c r="D87" s="155" t="s">
        <v>404</v>
      </c>
      <c r="E87" s="155" t="s">
        <v>404</v>
      </c>
      <c r="F87" s="434">
        <v>0.5274</v>
      </c>
      <c r="G87" s="170"/>
      <c r="H87" s="174"/>
      <c r="I87" s="170"/>
      <c r="J87" s="174"/>
      <c r="K87" s="174"/>
      <c r="L87" s="174"/>
      <c r="M87" s="174"/>
      <c r="N87" s="171"/>
      <c r="O87" s="171"/>
      <c r="P87" s="172"/>
      <c r="Q87" s="172"/>
      <c r="R87" s="25"/>
    </row>
    <row r="88" spans="1:18" s="139" customFormat="1" ht="15.75">
      <c r="A88" s="177" t="s">
        <v>146</v>
      </c>
      <c r="B88" s="155" t="s">
        <v>404</v>
      </c>
      <c r="C88" s="155">
        <v>-4.766676313092501</v>
      </c>
      <c r="D88" s="155" t="s">
        <v>404</v>
      </c>
      <c r="E88" s="155" t="s">
        <v>404</v>
      </c>
      <c r="F88" s="434">
        <v>0.5274</v>
      </c>
      <c r="G88" s="170"/>
      <c r="H88" s="174"/>
      <c r="I88" s="170"/>
      <c r="J88" s="167"/>
      <c r="K88" s="167"/>
      <c r="L88" s="167"/>
      <c r="M88" s="167"/>
      <c r="N88" s="171"/>
      <c r="O88" s="171"/>
      <c r="P88" s="172"/>
      <c r="Q88" s="172"/>
      <c r="R88" s="25"/>
    </row>
    <row r="89" spans="1:6" s="139" customFormat="1" ht="15.75" thickBot="1">
      <c r="A89" s="431" t="s">
        <v>323</v>
      </c>
      <c r="B89" s="156">
        <v>-88.17467782674504</v>
      </c>
      <c r="C89" s="156">
        <v>-51.96331116278404</v>
      </c>
      <c r="D89" s="156" t="s">
        <v>404</v>
      </c>
      <c r="E89" s="156">
        <v>-26.705274517338612</v>
      </c>
      <c r="F89" s="435">
        <v>0.5274</v>
      </c>
    </row>
    <row r="90" spans="1:6" s="139" customFormat="1" ht="15">
      <c r="A90" s="179"/>
      <c r="B90" s="180"/>
      <c r="C90" s="180"/>
      <c r="D90" s="181"/>
      <c r="E90" s="180"/>
      <c r="F90" s="180"/>
    </row>
    <row r="91" spans="1:10" s="139" customFormat="1" ht="15.75">
      <c r="A91" s="535" t="s">
        <v>438</v>
      </c>
      <c r="B91" s="638" t="s">
        <v>44</v>
      </c>
      <c r="C91" s="593"/>
      <c r="D91" s="593"/>
      <c r="E91" s="593"/>
      <c r="F91" s="593"/>
      <c r="G91" s="593"/>
      <c r="H91" s="593"/>
      <c r="I91" s="593"/>
      <c r="J91" s="593"/>
    </row>
    <row r="92" spans="2:10" s="139" customFormat="1" ht="31.5" customHeight="1">
      <c r="B92" s="638" t="s">
        <v>45</v>
      </c>
      <c r="C92" s="593"/>
      <c r="D92" s="593"/>
      <c r="E92" s="593"/>
      <c r="F92" s="593"/>
      <c r="G92" s="593"/>
      <c r="H92" s="593"/>
      <c r="I92" s="593"/>
      <c r="J92" s="593"/>
    </row>
    <row r="93" ht="12.75"/>
    <row r="94" spans="1:7" s="139" customFormat="1" ht="15.75">
      <c r="A94" s="25" t="s">
        <v>387</v>
      </c>
      <c r="B94" s="419"/>
      <c r="C94" s="419"/>
      <c r="D94" s="419"/>
      <c r="E94" s="419"/>
      <c r="F94" s="419"/>
      <c r="G94" s="419"/>
    </row>
    <row r="95" spans="2:7" s="139" customFormat="1" ht="15">
      <c r="B95" s="419"/>
      <c r="C95" s="419"/>
      <c r="D95" s="419"/>
      <c r="E95" s="419"/>
      <c r="F95" s="419"/>
      <c r="G95" s="419"/>
    </row>
    <row r="96" spans="1:4" s="133" customFormat="1" ht="15.75">
      <c r="A96" s="185" t="s">
        <v>411</v>
      </c>
      <c r="B96" s="185" t="s">
        <v>412</v>
      </c>
      <c r="C96" s="185" t="s">
        <v>89</v>
      </c>
      <c r="D96" s="185" t="s">
        <v>112</v>
      </c>
    </row>
    <row r="97" spans="1:4" s="133" customFormat="1" ht="22.5" customHeight="1">
      <c r="A97" s="185" t="s">
        <v>121</v>
      </c>
      <c r="B97" s="185"/>
      <c r="C97" s="185"/>
      <c r="D97" s="185"/>
    </row>
    <row r="98" spans="1:11" s="133" customFormat="1" ht="45.75" customHeight="1">
      <c r="A98" s="186" t="s">
        <v>93</v>
      </c>
      <c r="B98" s="187">
        <v>103.8</v>
      </c>
      <c r="C98" s="186" t="s">
        <v>292</v>
      </c>
      <c r="D98" s="659" t="s">
        <v>46</v>
      </c>
      <c r="E98" s="659"/>
      <c r="F98" s="659"/>
      <c r="G98" s="659"/>
      <c r="H98" s="659"/>
      <c r="I98" s="659"/>
      <c r="J98" s="659"/>
      <c r="K98" s="659"/>
    </row>
    <row r="99" spans="1:11" s="133" customFormat="1" ht="20.25" customHeight="1">
      <c r="A99" s="188" t="s">
        <v>122</v>
      </c>
      <c r="B99" s="187"/>
      <c r="C99" s="186"/>
      <c r="D99" s="189"/>
      <c r="E99" s="189"/>
      <c r="F99" s="189"/>
      <c r="G99" s="189"/>
      <c r="H99" s="189"/>
      <c r="I99" s="190"/>
      <c r="J99" s="190"/>
      <c r="K99" s="190"/>
    </row>
    <row r="100" spans="1:11" s="133" customFormat="1" ht="30">
      <c r="A100" s="189" t="s">
        <v>90</v>
      </c>
      <c r="B100" s="191">
        <f>B101*B104</f>
        <v>69.20061904761904</v>
      </c>
      <c r="C100" s="189" t="s">
        <v>292</v>
      </c>
      <c r="D100" s="642" t="s">
        <v>293</v>
      </c>
      <c r="E100" s="642"/>
      <c r="F100" s="642"/>
      <c r="G100" s="642"/>
      <c r="H100" s="642"/>
      <c r="I100" s="642"/>
      <c r="J100" s="642"/>
      <c r="K100" s="642"/>
    </row>
    <row r="101" spans="1:12" s="133" customFormat="1" ht="33" customHeight="1">
      <c r="A101" s="189" t="s">
        <v>91</v>
      </c>
      <c r="B101" s="191">
        <v>557</v>
      </c>
      <c r="C101" s="189" t="s">
        <v>157</v>
      </c>
      <c r="D101" s="640" t="s">
        <v>47</v>
      </c>
      <c r="E101" s="641"/>
      <c r="F101" s="641"/>
      <c r="G101" s="641"/>
      <c r="H101" s="641"/>
      <c r="I101" s="641"/>
      <c r="J101" s="641"/>
      <c r="K101" s="641"/>
      <c r="L101" s="11"/>
    </row>
    <row r="102" spans="1:11" s="133" customFormat="1" ht="47.25" customHeight="1">
      <c r="A102" s="190" t="s">
        <v>92</v>
      </c>
      <c r="B102" s="192">
        <v>5.218</v>
      </c>
      <c r="C102" s="189" t="s">
        <v>302</v>
      </c>
      <c r="D102" s="642" t="s">
        <v>48</v>
      </c>
      <c r="E102" s="642"/>
      <c r="F102" s="642"/>
      <c r="G102" s="642"/>
      <c r="H102" s="642"/>
      <c r="I102" s="642"/>
      <c r="J102" s="642"/>
      <c r="K102" s="642"/>
    </row>
    <row r="103" spans="1:11" s="133" customFormat="1" ht="33" customHeight="1">
      <c r="A103" s="190" t="s">
        <v>92</v>
      </c>
      <c r="B103" s="135">
        <v>42</v>
      </c>
      <c r="C103" s="189" t="s">
        <v>301</v>
      </c>
      <c r="D103" s="190" t="s">
        <v>94</v>
      </c>
      <c r="E103" s="190"/>
      <c r="F103" s="190"/>
      <c r="G103" s="190"/>
      <c r="H103" s="190"/>
      <c r="I103" s="190"/>
      <c r="J103" s="190"/>
      <c r="K103" s="190"/>
    </row>
    <row r="104" spans="1:11" s="133" customFormat="1" ht="38.25" customHeight="1">
      <c r="A104" s="190" t="s">
        <v>92</v>
      </c>
      <c r="B104" s="192">
        <f>B102/B103</f>
        <v>0.12423809523809523</v>
      </c>
      <c r="C104" s="189" t="s">
        <v>303</v>
      </c>
      <c r="D104" s="642" t="s">
        <v>304</v>
      </c>
      <c r="E104" s="642"/>
      <c r="F104" s="642"/>
      <c r="G104" s="642"/>
      <c r="H104" s="642"/>
      <c r="I104" s="642"/>
      <c r="J104" s="642"/>
      <c r="K104" s="642"/>
    </row>
    <row r="105" spans="1:11" s="133" customFormat="1" ht="91.5" customHeight="1">
      <c r="A105" s="190" t="s">
        <v>115</v>
      </c>
      <c r="B105" s="193">
        <v>5.8</v>
      </c>
      <c r="C105" s="189" t="s">
        <v>302</v>
      </c>
      <c r="D105" s="642" t="s">
        <v>418</v>
      </c>
      <c r="E105" s="642"/>
      <c r="F105" s="642"/>
      <c r="G105" s="642"/>
      <c r="H105" s="642"/>
      <c r="I105" s="642"/>
      <c r="J105" s="642"/>
      <c r="K105" s="642"/>
    </row>
    <row r="106" spans="1:11" s="133" customFormat="1" ht="48" customHeight="1">
      <c r="A106" s="190" t="s">
        <v>115</v>
      </c>
      <c r="B106" s="191">
        <v>42</v>
      </c>
      <c r="C106" s="189" t="s">
        <v>158</v>
      </c>
      <c r="D106" s="642" t="s">
        <v>62</v>
      </c>
      <c r="E106" s="642"/>
      <c r="F106" s="642"/>
      <c r="G106" s="642"/>
      <c r="H106" s="642"/>
      <c r="I106" s="642"/>
      <c r="J106" s="642"/>
      <c r="K106" s="642"/>
    </row>
    <row r="107" spans="1:11" s="133" customFormat="1" ht="35.25" customHeight="1">
      <c r="A107" s="190" t="s">
        <v>117</v>
      </c>
      <c r="B107" s="194">
        <v>5.09</v>
      </c>
      <c r="C107" s="189" t="s">
        <v>123</v>
      </c>
      <c r="D107" s="642" t="s">
        <v>63</v>
      </c>
      <c r="E107" s="642"/>
      <c r="F107" s="642"/>
      <c r="G107" s="642"/>
      <c r="H107" s="642"/>
      <c r="I107" s="642"/>
      <c r="J107" s="642"/>
      <c r="K107" s="642"/>
    </row>
    <row r="108" spans="2:7" s="139" customFormat="1" ht="15">
      <c r="B108" s="419"/>
      <c r="C108" s="419"/>
      <c r="D108" s="419"/>
      <c r="E108" s="419"/>
      <c r="F108" s="419"/>
      <c r="G108" s="419"/>
    </row>
    <row r="109" spans="1:8" ht="15.75">
      <c r="A109" s="25" t="s">
        <v>472</v>
      </c>
      <c r="B109" s="28"/>
      <c r="C109" s="28"/>
      <c r="D109" s="28"/>
      <c r="E109" s="106"/>
      <c r="F109" s="106"/>
      <c r="G109" s="106"/>
      <c r="H109" s="28"/>
    </row>
    <row r="110" spans="1:8" ht="16.5" thickBot="1">
      <c r="A110" s="25"/>
      <c r="B110" s="28"/>
      <c r="C110" s="28"/>
      <c r="D110" s="28"/>
      <c r="E110" s="106"/>
      <c r="F110" s="106"/>
      <c r="G110" s="106"/>
      <c r="H110" s="28"/>
    </row>
    <row r="111" spans="1:8" s="133" customFormat="1" ht="15.75">
      <c r="A111" s="652" t="s">
        <v>205</v>
      </c>
      <c r="B111" s="653"/>
      <c r="C111" s="654" t="s">
        <v>458</v>
      </c>
      <c r="D111" s="653"/>
      <c r="E111" s="136"/>
      <c r="F111" s="183"/>
      <c r="G111" s="183"/>
      <c r="H111" s="124"/>
    </row>
    <row r="112" spans="1:8" s="133" customFormat="1" ht="93.75" customHeight="1">
      <c r="A112" s="299" t="s">
        <v>403</v>
      </c>
      <c r="B112" s="300" t="s">
        <v>206</v>
      </c>
      <c r="C112" s="470" t="s">
        <v>403</v>
      </c>
      <c r="D112" s="300" t="s">
        <v>459</v>
      </c>
      <c r="E112" s="124"/>
      <c r="F112" s="124"/>
      <c r="G112" s="124"/>
      <c r="H112" s="124"/>
    </row>
    <row r="113" spans="1:8" s="133" customFormat="1" ht="93.75" customHeight="1">
      <c r="A113" s="301" t="s">
        <v>204</v>
      </c>
      <c r="B113" s="184">
        <v>120</v>
      </c>
      <c r="C113" s="471" t="s">
        <v>204</v>
      </c>
      <c r="D113" s="184">
        <v>380</v>
      </c>
      <c r="E113" s="124"/>
      <c r="F113" s="124"/>
      <c r="G113" s="124"/>
      <c r="H113" s="124"/>
    </row>
    <row r="114" spans="1:8" s="133" customFormat="1" ht="15">
      <c r="A114" s="301" t="s">
        <v>203</v>
      </c>
      <c r="B114" s="473">
        <v>2500</v>
      </c>
      <c r="C114" s="471" t="s">
        <v>460</v>
      </c>
      <c r="D114" s="184">
        <v>1300</v>
      </c>
      <c r="E114" s="124"/>
      <c r="F114" s="124"/>
      <c r="G114" s="124"/>
      <c r="H114" s="124"/>
    </row>
    <row r="115" spans="1:8" s="133" customFormat="1" ht="28.5" customHeight="1">
      <c r="A115" s="301" t="s">
        <v>443</v>
      </c>
      <c r="B115" s="473">
        <v>1400</v>
      </c>
      <c r="C115" s="471" t="s">
        <v>461</v>
      </c>
      <c r="D115" s="184">
        <v>410</v>
      </c>
      <c r="E115" s="124"/>
      <c r="F115" s="124"/>
      <c r="G115" s="124"/>
      <c r="H115" s="124"/>
    </row>
    <row r="116" spans="1:8" s="133" customFormat="1" ht="34.5" customHeight="1" thickBot="1">
      <c r="A116" s="527"/>
      <c r="B116" s="528"/>
      <c r="C116" s="472" t="s">
        <v>462</v>
      </c>
      <c r="D116" s="451">
        <v>160</v>
      </c>
      <c r="E116" s="124"/>
      <c r="F116" s="124"/>
      <c r="G116" s="124"/>
      <c r="H116" s="124"/>
    </row>
    <row r="117" spans="2:8" s="133" customFormat="1" ht="15">
      <c r="B117" s="124"/>
      <c r="C117" s="124"/>
      <c r="D117" s="124"/>
      <c r="E117" s="124"/>
      <c r="F117" s="124"/>
      <c r="G117" s="124"/>
      <c r="H117" s="124"/>
    </row>
    <row r="118" spans="1:11" s="452" customFormat="1" ht="30" customHeight="1">
      <c r="A118" s="157" t="s">
        <v>438</v>
      </c>
      <c r="B118" s="584" t="s">
        <v>64</v>
      </c>
      <c r="C118" s="584"/>
      <c r="D118" s="584"/>
      <c r="E118" s="584"/>
      <c r="F118" s="584"/>
      <c r="G118" s="584"/>
      <c r="H118" s="584"/>
      <c r="I118" s="584"/>
      <c r="J118" s="584"/>
      <c r="K118" s="584"/>
    </row>
    <row r="119" s="452" customFormat="1" ht="15">
      <c r="B119" s="179" t="s">
        <v>139</v>
      </c>
    </row>
    <row r="120" s="452" customFormat="1" ht="15">
      <c r="B120" s="452" t="s">
        <v>65</v>
      </c>
    </row>
    <row r="121" s="452" customFormat="1" ht="15.75">
      <c r="A121" s="474" t="s">
        <v>131</v>
      </c>
    </row>
    <row r="122" spans="1:11" s="452" customFormat="1" ht="35.25" customHeight="1">
      <c r="A122" s="639" t="s">
        <v>137</v>
      </c>
      <c r="B122" s="639"/>
      <c r="C122" s="639"/>
      <c r="D122" s="639"/>
      <c r="E122" s="639"/>
      <c r="F122" s="639"/>
      <c r="G122" s="639"/>
      <c r="H122" s="639"/>
      <c r="I122" s="639"/>
      <c r="J122" s="639"/>
      <c r="K122" s="639"/>
    </row>
    <row r="123" s="452" customFormat="1" ht="15.75" thickBot="1"/>
    <row r="124" spans="1:2" s="452" customFormat="1" ht="133.5" customHeight="1">
      <c r="A124" s="475"/>
      <c r="B124" s="306" t="s">
        <v>133</v>
      </c>
    </row>
    <row r="125" spans="1:2" s="452" customFormat="1" ht="33.75" customHeight="1">
      <c r="A125" s="476" t="s">
        <v>132</v>
      </c>
      <c r="B125" s="477">
        <v>52</v>
      </c>
    </row>
    <row r="126" spans="1:2" s="452" customFormat="1" ht="54.75" customHeight="1" thickBot="1">
      <c r="A126" s="478" t="s">
        <v>192</v>
      </c>
      <c r="B126" s="479">
        <v>78</v>
      </c>
    </row>
    <row r="127" s="452" customFormat="1" ht="15"/>
    <row r="128" spans="1:9" s="133" customFormat="1" ht="29.25" customHeight="1">
      <c r="A128" s="536" t="s">
        <v>438</v>
      </c>
      <c r="B128" s="645" t="s">
        <v>66</v>
      </c>
      <c r="C128" s="645"/>
      <c r="D128" s="645"/>
      <c r="E128" s="645"/>
      <c r="F128" s="645"/>
      <c r="G128" s="645"/>
      <c r="H128" s="645"/>
      <c r="I128" s="645"/>
    </row>
    <row r="129" spans="1:9" s="133" customFormat="1" ht="35.25" customHeight="1">
      <c r="A129" s="33"/>
      <c r="B129" s="638" t="s">
        <v>44</v>
      </c>
      <c r="C129" s="638"/>
      <c r="D129" s="638"/>
      <c r="E129" s="638"/>
      <c r="F129" s="638"/>
      <c r="G129" s="638"/>
      <c r="H129" s="638"/>
      <c r="I129" s="139"/>
    </row>
    <row r="130" spans="1:9" s="133" customFormat="1" ht="34.5" customHeight="1">
      <c r="A130" s="33"/>
      <c r="B130" s="643" t="s">
        <v>45</v>
      </c>
      <c r="C130" s="643"/>
      <c r="D130" s="643"/>
      <c r="E130" s="643"/>
      <c r="F130" s="643"/>
      <c r="G130" s="643"/>
      <c r="H130" s="644"/>
      <c r="I130" s="644"/>
    </row>
    <row r="131" spans="1:9" s="133" customFormat="1" ht="18" customHeight="1">
      <c r="A131" s="24"/>
      <c r="B131" s="179" t="s">
        <v>138</v>
      </c>
      <c r="C131" s="483"/>
      <c r="D131" s="483"/>
      <c r="E131" s="482"/>
      <c r="F131" s="482"/>
      <c r="G131" s="482"/>
      <c r="H131" s="482"/>
      <c r="I131" s="179"/>
    </row>
    <row r="132" spans="1:9" s="133" customFormat="1" ht="15">
      <c r="A132" s="24"/>
      <c r="B132" s="179"/>
      <c r="C132" s="483"/>
      <c r="D132" s="483"/>
      <c r="E132" s="482"/>
      <c r="F132" s="482"/>
      <c r="G132" s="482"/>
      <c r="H132" s="482"/>
      <c r="I132" s="179"/>
    </row>
    <row r="133" spans="1:8" s="133" customFormat="1" ht="15.75">
      <c r="A133" s="460" t="s">
        <v>130</v>
      </c>
      <c r="B133" s="28"/>
      <c r="C133" s="28"/>
      <c r="D133" s="28"/>
      <c r="E133" s="124"/>
      <c r="F133" s="124"/>
      <c r="G133" s="124"/>
      <c r="H133" s="124"/>
    </row>
    <row r="134" spans="1:8" s="133" customFormat="1" ht="15.75" thickBot="1">
      <c r="A134" s="24"/>
      <c r="B134" s="28"/>
      <c r="C134" s="28"/>
      <c r="D134" s="28"/>
      <c r="E134" s="124"/>
      <c r="F134" s="124"/>
      <c r="G134" s="124"/>
      <c r="H134" s="124"/>
    </row>
    <row r="135" spans="1:8" s="133" customFormat="1" ht="134.25" customHeight="1">
      <c r="A135" s="461" t="s">
        <v>467</v>
      </c>
      <c r="B135" s="462" t="s">
        <v>469</v>
      </c>
      <c r="C135" s="28"/>
      <c r="D135" s="28"/>
      <c r="E135" s="124"/>
      <c r="F135" s="124"/>
      <c r="G135" s="124"/>
      <c r="H135" s="124"/>
    </row>
    <row r="136" spans="1:8" s="133" customFormat="1" ht="15.75" thickBot="1">
      <c r="A136" s="302" t="s">
        <v>468</v>
      </c>
      <c r="B136" s="463">
        <v>3.3</v>
      </c>
      <c r="C136" s="28"/>
      <c r="D136" s="28"/>
      <c r="E136" s="124"/>
      <c r="F136" s="124"/>
      <c r="G136" s="124"/>
      <c r="H136" s="124"/>
    </row>
    <row r="137" spans="1:8" s="133" customFormat="1" ht="15">
      <c r="A137" s="24"/>
      <c r="B137" s="28"/>
      <c r="C137" s="28"/>
      <c r="D137" s="28"/>
      <c r="E137" s="124"/>
      <c r="F137" s="124"/>
      <c r="G137" s="124"/>
      <c r="H137" s="124"/>
    </row>
    <row r="138" spans="1:11" s="133" customFormat="1" ht="32.25" customHeight="1">
      <c r="A138" s="536" t="s">
        <v>438</v>
      </c>
      <c r="B138" s="584" t="s">
        <v>67</v>
      </c>
      <c r="C138" s="571"/>
      <c r="D138" s="571"/>
      <c r="E138" s="571"/>
      <c r="F138" s="571"/>
      <c r="G138" s="571"/>
      <c r="H138" s="571"/>
      <c r="I138" s="571"/>
      <c r="J138" s="571"/>
      <c r="K138" s="571"/>
    </row>
    <row r="139" spans="1:8" s="133" customFormat="1" ht="15">
      <c r="A139" s="24"/>
      <c r="B139" s="28"/>
      <c r="C139" s="28"/>
      <c r="D139" s="28"/>
      <c r="E139" s="124"/>
      <c r="F139" s="124"/>
      <c r="G139" s="124"/>
      <c r="H139" s="124"/>
    </row>
    <row r="140" spans="1:8" ht="15.75">
      <c r="A140" s="25" t="s">
        <v>388</v>
      </c>
      <c r="E140" s="28"/>
      <c r="F140" s="28"/>
      <c r="G140" s="28"/>
      <c r="H140" s="28"/>
    </row>
    <row r="141" ht="15.75">
      <c r="A141" s="25"/>
    </row>
    <row r="142" spans="1:4" ht="15.75">
      <c r="A142" s="185" t="s">
        <v>411</v>
      </c>
      <c r="B142" s="185" t="s">
        <v>412</v>
      </c>
      <c r="C142" s="185" t="s">
        <v>89</v>
      </c>
      <c r="D142" s="185" t="s">
        <v>112</v>
      </c>
    </row>
    <row r="143" spans="1:4" s="133" customFormat="1" ht="15">
      <c r="A143" s="423" t="s">
        <v>305</v>
      </c>
      <c r="B143" s="658" t="s">
        <v>306</v>
      </c>
      <c r="C143" s="659"/>
      <c r="D143" s="179"/>
    </row>
    <row r="144" spans="1:7" s="179" customFormat="1" ht="15">
      <c r="A144" s="190" t="s">
        <v>366</v>
      </c>
      <c r="B144" s="195">
        <v>2204.6</v>
      </c>
      <c r="C144" s="189" t="s">
        <v>159</v>
      </c>
      <c r="D144" s="190" t="s">
        <v>116</v>
      </c>
      <c r="E144" s="190"/>
      <c r="F144" s="190"/>
      <c r="G144" s="190"/>
    </row>
  </sheetData>
  <sheetProtection password="C62B" sheet="1" objects="1" scenarios="1" selectLockedCells="1"/>
  <mergeCells count="27">
    <mergeCell ref="A8:G8"/>
    <mergeCell ref="A50:G50"/>
    <mergeCell ref="B138:K138"/>
    <mergeCell ref="B143:C143"/>
    <mergeCell ref="D98:K98"/>
    <mergeCell ref="D105:K105"/>
    <mergeCell ref="D106:K106"/>
    <mergeCell ref="D107:K107"/>
    <mergeCell ref="D102:K102"/>
    <mergeCell ref="D100:K100"/>
    <mergeCell ref="B130:I130"/>
    <mergeCell ref="B128:I128"/>
    <mergeCell ref="B129:H129"/>
    <mergeCell ref="A1:G1"/>
    <mergeCell ref="B10:F10"/>
    <mergeCell ref="B52:F52"/>
    <mergeCell ref="A111:B111"/>
    <mergeCell ref="C111:D111"/>
    <mergeCell ref="B53:F53"/>
    <mergeCell ref="B47:I47"/>
    <mergeCell ref="B48:I48"/>
    <mergeCell ref="B91:J91"/>
    <mergeCell ref="A122:K122"/>
    <mergeCell ref="B118:K118"/>
    <mergeCell ref="B92:J92"/>
    <mergeCell ref="D101:K101"/>
    <mergeCell ref="D104:K104"/>
  </mergeCells>
  <printOptions/>
  <pageMargins left="0.75" right="0.75" top="1" bottom="1" header="0.5" footer="0.5"/>
  <pageSetup fitToHeight="4" fitToWidth="2" horizontalDpi="300" verticalDpi="300" orientation="landscape" scale="53" r:id="rId3"/>
  <headerFooter alignWithMargins="0">
    <oddFooter>&amp;LNortheast Recycling Council, Inc. (NERC)
© September 2006&amp;CPage &amp;P&amp;R&amp;A</oddFooter>
  </headerFooter>
  <rowBreaks count="3" manualBreakCount="3">
    <brk id="48" max="255" man="1"/>
    <brk id="93" max="255" man="1"/>
    <brk id="120" max="255" man="1"/>
  </rowBreaks>
  <colBreaks count="1" manualBreakCount="1">
    <brk id="11" max="65535" man="1"/>
  </colBreaks>
  <legacyDrawing r:id="rId2"/>
</worksheet>
</file>

<file path=xl/worksheets/sheet5.xml><?xml version="1.0" encoding="utf-8"?>
<worksheet xmlns="http://schemas.openxmlformats.org/spreadsheetml/2006/main" xmlns:r="http://schemas.openxmlformats.org/officeDocument/2006/relationships">
  <dimension ref="A1:E82"/>
  <sheetViews>
    <sheetView workbookViewId="0" topLeftCell="A1">
      <selection activeCell="A1" sqref="A1:B1"/>
    </sheetView>
  </sheetViews>
  <sheetFormatPr defaultColWidth="9.140625" defaultRowHeight="12.75"/>
  <cols>
    <col min="1" max="1" width="64.28125" style="0" customWidth="1"/>
    <col min="2" max="2" width="17.7109375" style="248" bestFit="1" customWidth="1"/>
  </cols>
  <sheetData>
    <row r="1" spans="1:5" ht="45" customHeight="1">
      <c r="A1" s="586" t="s">
        <v>125</v>
      </c>
      <c r="B1" s="571"/>
      <c r="C1" s="69"/>
      <c r="D1" s="69"/>
      <c r="E1" s="69"/>
    </row>
    <row r="2" ht="15">
      <c r="A2" s="101" t="s">
        <v>283</v>
      </c>
    </row>
    <row r="3" ht="15">
      <c r="A3" s="304" t="s">
        <v>140</v>
      </c>
    </row>
    <row r="4" ht="12.75"/>
    <row r="5" ht="18">
      <c r="A5" s="2" t="s">
        <v>253</v>
      </c>
    </row>
    <row r="6" spans="1:2" s="101" customFormat="1" ht="30.75" customHeight="1">
      <c r="A6" s="660" t="s">
        <v>61</v>
      </c>
      <c r="B6" s="571"/>
    </row>
    <row r="7" spans="1:2" s="101" customFormat="1" ht="15.75" thickBot="1">
      <c r="A7" s="109"/>
      <c r="B7" s="307"/>
    </row>
    <row r="8" spans="1:2" s="101" customFormat="1" ht="15.75">
      <c r="A8" s="308" t="s">
        <v>365</v>
      </c>
      <c r="B8" s="309" t="s">
        <v>208</v>
      </c>
    </row>
    <row r="9" spans="1:2" s="101" customFormat="1" ht="15">
      <c r="A9" s="310" t="s">
        <v>432</v>
      </c>
      <c r="B9" s="311">
        <f>'Wksht 1. Data Inputs'!B54</f>
        <v>4006785</v>
      </c>
    </row>
    <row r="10" spans="1:2" s="101" customFormat="1" ht="15">
      <c r="A10" s="310" t="s">
        <v>431</v>
      </c>
      <c r="B10" s="311">
        <f>'Wksht 1. Data Inputs'!B90</f>
        <v>0</v>
      </c>
    </row>
    <row r="11" spans="1:2" s="101" customFormat="1" ht="15">
      <c r="A11" s="310" t="s">
        <v>422</v>
      </c>
      <c r="B11" s="311">
        <f>'Wksht 1. Data Inputs'!B91</f>
        <v>0</v>
      </c>
    </row>
    <row r="12" spans="1:2" s="101" customFormat="1" ht="16.5" thickBot="1">
      <c r="A12" s="312" t="s">
        <v>398</v>
      </c>
      <c r="B12" s="313">
        <f>SUM(B9:B11)</f>
        <v>4006785</v>
      </c>
    </row>
    <row r="13" spans="1:2" s="101" customFormat="1" ht="16.5" thickBot="1">
      <c r="A13" s="314"/>
      <c r="B13" s="315"/>
    </row>
    <row r="14" spans="1:2" s="101" customFormat="1" ht="15.75">
      <c r="A14" s="316" t="s">
        <v>367</v>
      </c>
      <c r="B14" s="317"/>
    </row>
    <row r="15" spans="1:2" s="101" customFormat="1" ht="15">
      <c r="A15" s="310" t="s">
        <v>241</v>
      </c>
      <c r="B15" s="318" t="e">
        <f>'Wksht 1. Data Inputs'!B91/'Wksht 1. Data Inputs'!B92</f>
        <v>#DIV/0!</v>
      </c>
    </row>
    <row r="16" spans="1:2" s="101" customFormat="1" ht="15.75" thickBot="1">
      <c r="A16" s="319" t="s">
        <v>433</v>
      </c>
      <c r="B16" s="320" t="e">
        <f>'Wksht 1. Data Inputs'!B90/'Wksht 1. Data Inputs'!B92</f>
        <v>#DIV/0!</v>
      </c>
    </row>
    <row r="17" s="101" customFormat="1" ht="15.75" thickBot="1">
      <c r="B17" s="127"/>
    </row>
    <row r="18" spans="1:2" s="101" customFormat="1" ht="63">
      <c r="A18" s="321" t="s">
        <v>193</v>
      </c>
      <c r="B18" s="306" t="s">
        <v>209</v>
      </c>
    </row>
    <row r="19" spans="1:2" s="101" customFormat="1" ht="15">
      <c r="A19" s="322" t="s">
        <v>83</v>
      </c>
      <c r="B19" s="134">
        <f>(SUM('Wksht 1. Data Inputs'!B23:B28,'Wksht 1. Data Inputs'!B47))/1000</f>
        <v>2201.118</v>
      </c>
    </row>
    <row r="20" spans="1:2" s="101" customFormat="1" ht="15">
      <c r="A20" s="322" t="s">
        <v>375</v>
      </c>
      <c r="B20" s="134">
        <f>('Wksht 1. Data Inputs'!B19)/1000</f>
        <v>234.629</v>
      </c>
    </row>
    <row r="21" spans="1:2" s="101" customFormat="1" ht="15">
      <c r="A21" s="322" t="s">
        <v>296</v>
      </c>
      <c r="B21" s="134">
        <f>(SUM('Wksht 1. Data Inputs'!B17:B18,'Wksht 1. Data Inputs'!B36:B38,'Wksht 1. Data Inputs'!B48))/1000</f>
        <v>508.702</v>
      </c>
    </row>
    <row r="22" spans="1:2" s="101" customFormat="1" ht="15">
      <c r="A22" s="322" t="s">
        <v>84</v>
      </c>
      <c r="B22" s="134">
        <f>('Wksht 1. Data Inputs'!B20+'Wksht 1. Data Inputs'!B21+'Wksht 1. Data Inputs'!B22+'Wksht 1. Data Inputs'!B49)/1000</f>
        <v>1062.336</v>
      </c>
    </row>
    <row r="23" spans="1:2" s="101" customFormat="1" ht="15">
      <c r="A23" s="322" t="s">
        <v>19</v>
      </c>
      <c r="B23" s="134">
        <f>(SUM('Wksht 1. Data Inputs'!B31:B35,'Wksht 1. Data Inputs'!B52))/1000</f>
        <v>0</v>
      </c>
    </row>
    <row r="24" spans="1:2" s="101" customFormat="1" ht="15">
      <c r="A24" s="322" t="s">
        <v>397</v>
      </c>
      <c r="B24" s="134">
        <f>(SUM('Wksht 1. Data Inputs'!B30,'Wksht 1. Data Inputs'!B39:B46,'Wksht 1. Data Inputs'!B51,'Wksht 1. Data Inputs'!B53))/1000</f>
        <v>0</v>
      </c>
    </row>
    <row r="25" spans="1:2" s="101" customFormat="1" ht="16.5" thickBot="1">
      <c r="A25" s="323" t="s">
        <v>398</v>
      </c>
      <c r="B25" s="324">
        <f>SUM(B19:B24)</f>
        <v>4006.785</v>
      </c>
    </row>
    <row r="26" spans="1:2" s="101" customFormat="1" ht="16.5" thickBot="1">
      <c r="A26" s="325"/>
      <c r="B26" s="326"/>
    </row>
    <row r="27" spans="1:2" s="101" customFormat="1" ht="94.5">
      <c r="A27" s="321" t="s">
        <v>194</v>
      </c>
      <c r="B27" s="306" t="s">
        <v>199</v>
      </c>
    </row>
    <row r="28" spans="1:2" s="101" customFormat="1" ht="15">
      <c r="A28" s="322" t="s">
        <v>83</v>
      </c>
      <c r="B28" s="134">
        <f>(SUM('Wksht 1. Data Inputs'!B63:B68,'Wksht 1. Data Inputs'!B82))/1000</f>
        <v>0</v>
      </c>
    </row>
    <row r="29" spans="1:2" s="101" customFormat="1" ht="15">
      <c r="A29" s="322" t="s">
        <v>375</v>
      </c>
      <c r="B29" s="134">
        <f>('Wksht 1. Data Inputs'!B59)/1000</f>
        <v>0</v>
      </c>
    </row>
    <row r="30" spans="1:2" s="101" customFormat="1" ht="15">
      <c r="A30" s="322" t="s">
        <v>296</v>
      </c>
      <c r="B30" s="134">
        <f>(SUM('Wksht 1. Data Inputs'!B57:B58,'Wksht 1. Data Inputs'!B70:B72,'Wksht 1. Data Inputs'!B83))/1000</f>
        <v>0</v>
      </c>
    </row>
    <row r="31" spans="1:2" s="101" customFormat="1" ht="15">
      <c r="A31" s="322" t="s">
        <v>84</v>
      </c>
      <c r="B31" s="134">
        <f>(SUM('Wksht 1. Data Inputs'!B60:B62,'Wksht 1. Data Inputs'!B84))/1000</f>
        <v>0</v>
      </c>
    </row>
    <row r="32" spans="1:2" s="101" customFormat="1" ht="15">
      <c r="A32" s="322" t="s">
        <v>397</v>
      </c>
      <c r="B32" s="134">
        <f>(SUM('Wksht 1. Data Inputs'!B69,'Wksht 1. Data Inputs'!B74:B81,'Wksht 1. Data Inputs'!B85:B86))/1000</f>
        <v>0</v>
      </c>
    </row>
    <row r="33" spans="1:2" s="101" customFormat="1" ht="16.5" thickBot="1">
      <c r="A33" s="323" t="s">
        <v>398</v>
      </c>
      <c r="B33" s="324">
        <f>SUM(B28:B32)</f>
        <v>0</v>
      </c>
    </row>
    <row r="34" spans="1:2" s="101" customFormat="1" ht="16.5" thickBot="1">
      <c r="A34" s="325"/>
      <c r="B34" s="326"/>
    </row>
    <row r="35" spans="1:2" s="101" customFormat="1" ht="15.75">
      <c r="A35" s="308" t="s">
        <v>297</v>
      </c>
      <c r="B35" s="309" t="s">
        <v>208</v>
      </c>
    </row>
    <row r="36" spans="1:2" s="101" customFormat="1" ht="15">
      <c r="A36" s="310" t="s">
        <v>432</v>
      </c>
      <c r="B36" s="311">
        <f>'Wksht 1. Data Inputs'!B54</f>
        <v>4006785</v>
      </c>
    </row>
    <row r="37" spans="1:2" s="101" customFormat="1" ht="15">
      <c r="A37" s="322" t="s">
        <v>330</v>
      </c>
      <c r="B37" s="311">
        <f>'Wksht 1. Data Inputs'!B87</f>
        <v>0</v>
      </c>
    </row>
    <row r="38" spans="1:2" s="101" customFormat="1" ht="16.5" thickBot="1">
      <c r="A38" s="323" t="s">
        <v>398</v>
      </c>
      <c r="B38" s="324">
        <f>SUM(B36:B37)</f>
        <v>4006785</v>
      </c>
    </row>
    <row r="39" s="101" customFormat="1" ht="15.75" thickBot="1">
      <c r="B39" s="307"/>
    </row>
    <row r="40" spans="1:2" s="101" customFormat="1" ht="31.5">
      <c r="A40" s="468" t="s">
        <v>195</v>
      </c>
      <c r="B40" s="309" t="s">
        <v>99</v>
      </c>
    </row>
    <row r="41" spans="1:2" s="101" customFormat="1" ht="15">
      <c r="A41" s="322" t="s">
        <v>331</v>
      </c>
      <c r="B41" s="134">
        <f>'Wksht 2.  Environmental Impacts'!$C$144</f>
        <v>0</v>
      </c>
    </row>
    <row r="42" spans="1:2" s="101" customFormat="1" ht="15">
      <c r="A42" s="322" t="s">
        <v>102</v>
      </c>
      <c r="B42" s="134" t="e">
        <f>'Wksht 2.  Environmental Impacts'!$D$144</f>
        <v>#DIV/0!</v>
      </c>
    </row>
    <row r="43" spans="1:2" s="101" customFormat="1" ht="15.75" thickBot="1">
      <c r="A43" s="327" t="s">
        <v>332</v>
      </c>
      <c r="B43" s="137" t="e">
        <f>'Wksht 2.  Environmental Impacts'!$E$144</f>
        <v>#DIV/0!</v>
      </c>
    </row>
    <row r="44" s="101" customFormat="1" ht="15.75" thickBot="1">
      <c r="B44" s="307"/>
    </row>
    <row r="45" spans="1:2" s="101" customFormat="1" ht="15.75">
      <c r="A45" s="308" t="s">
        <v>196</v>
      </c>
      <c r="B45" s="309" t="s">
        <v>99</v>
      </c>
    </row>
    <row r="46" spans="1:2" s="101" customFormat="1" ht="15">
      <c r="A46" s="322" t="s">
        <v>101</v>
      </c>
      <c r="B46" s="134">
        <f>'Wksht 2.  Environmental Impacts'!C245</f>
        <v>-2881412.36511443</v>
      </c>
    </row>
    <row r="47" spans="1:2" s="101" customFormat="1" ht="15">
      <c r="A47" s="322" t="s">
        <v>102</v>
      </c>
      <c r="B47" s="134" t="e">
        <f>'Wksht 2.  Environmental Impacts'!D245</f>
        <v>#DIV/0!</v>
      </c>
    </row>
    <row r="48" spans="1:2" s="101" customFormat="1" ht="15.75" thickBot="1">
      <c r="A48" s="327" t="s">
        <v>103</v>
      </c>
      <c r="B48" s="137" t="e">
        <f>'Wksht 2.  Environmental Impacts'!E245</f>
        <v>#DIV/0!</v>
      </c>
    </row>
    <row r="49" spans="1:2" s="101" customFormat="1" ht="15.75" thickBot="1">
      <c r="A49" s="179"/>
      <c r="B49" s="182"/>
    </row>
    <row r="50" spans="1:2" s="101" customFormat="1" ht="31.5">
      <c r="A50" s="468" t="s">
        <v>197</v>
      </c>
      <c r="B50" s="309" t="s">
        <v>307</v>
      </c>
    </row>
    <row r="51" spans="1:2" s="101" customFormat="1" ht="15">
      <c r="A51" s="322" t="s">
        <v>333</v>
      </c>
      <c r="B51" s="134">
        <f>'Wksht 2.  Environmental Impacts'!$C$363</f>
        <v>0</v>
      </c>
    </row>
    <row r="52" spans="1:2" s="101" customFormat="1" ht="15">
      <c r="A52" s="322" t="s">
        <v>79</v>
      </c>
      <c r="B52" s="134" t="e">
        <f>'Wksht 2.  Environmental Impacts'!$D$363</f>
        <v>#DIV/0!</v>
      </c>
    </row>
    <row r="53" spans="1:2" s="101" customFormat="1" ht="15.75" thickBot="1">
      <c r="A53" s="327" t="s">
        <v>334</v>
      </c>
      <c r="B53" s="137" t="e">
        <f>'Wksht 2.  Environmental Impacts'!E363</f>
        <v>#DIV/0!</v>
      </c>
    </row>
    <row r="54" spans="1:2" s="101" customFormat="1" ht="15.75" thickBot="1">
      <c r="A54" s="179"/>
      <c r="B54" s="182"/>
    </row>
    <row r="55" spans="1:2" s="133" customFormat="1" ht="15.75">
      <c r="A55" s="308" t="s">
        <v>198</v>
      </c>
      <c r="B55" s="309" t="s">
        <v>307</v>
      </c>
    </row>
    <row r="56" spans="1:2" s="133" customFormat="1" ht="15">
      <c r="A56" s="322" t="s">
        <v>78</v>
      </c>
      <c r="B56" s="134">
        <f>'Wksht 2.  Environmental Impacts'!C508</f>
        <v>-117262884.80437687</v>
      </c>
    </row>
    <row r="57" spans="1:2" s="133" customFormat="1" ht="15">
      <c r="A57" s="322" t="s">
        <v>79</v>
      </c>
      <c r="B57" s="134" t="e">
        <f>'Wksht 2.  Environmental Impacts'!D508</f>
        <v>#DIV/0!</v>
      </c>
    </row>
    <row r="58" spans="1:2" s="133" customFormat="1" ht="15.75" thickBot="1">
      <c r="A58" s="327" t="s">
        <v>80</v>
      </c>
      <c r="B58" s="137" t="e">
        <f>'Wksht 2.  Environmental Impacts'!E508</f>
        <v>#DIV/0!</v>
      </c>
    </row>
    <row r="59" spans="1:2" s="133" customFormat="1" ht="15.75" thickBot="1">
      <c r="A59" s="179"/>
      <c r="B59" s="182"/>
    </row>
    <row r="60" spans="1:2" s="101" customFormat="1" ht="47.25">
      <c r="A60" s="328" t="s">
        <v>32</v>
      </c>
      <c r="B60" s="329" t="s">
        <v>307</v>
      </c>
    </row>
    <row r="61" spans="1:2" s="101" customFormat="1" ht="15">
      <c r="A61" s="310" t="s">
        <v>318</v>
      </c>
      <c r="B61" s="311" t="e">
        <f>B58</f>
        <v>#DIV/0!</v>
      </c>
    </row>
    <row r="62" spans="1:2" s="101" customFormat="1" ht="15">
      <c r="A62" s="310" t="s">
        <v>455</v>
      </c>
      <c r="B62" s="311">
        <f>'Wksht 2.  Environmental Impacts'!B638</f>
        <v>22500000</v>
      </c>
    </row>
    <row r="63" spans="1:2" s="101" customFormat="1" ht="15.75" thickBot="1">
      <c r="A63" s="319" t="s">
        <v>456</v>
      </c>
      <c r="B63" s="330">
        <f>'Wksht 2.  Environmental Impacts'!B637</f>
        <v>1441900000</v>
      </c>
    </row>
    <row r="64" spans="1:2" s="101" customFormat="1" ht="15.75" thickBot="1">
      <c r="A64" s="331"/>
      <c r="B64" s="332"/>
    </row>
    <row r="65" spans="1:2" s="101" customFormat="1" ht="47.25">
      <c r="A65" s="328" t="s">
        <v>33</v>
      </c>
      <c r="B65" s="329" t="s">
        <v>307</v>
      </c>
    </row>
    <row r="66" spans="1:2" s="101" customFormat="1" ht="15">
      <c r="A66" s="310" t="s">
        <v>318</v>
      </c>
      <c r="B66" s="311" t="e">
        <f>B61</f>
        <v>#DIV/0!</v>
      </c>
    </row>
    <row r="67" spans="1:2" s="101" customFormat="1" ht="15">
      <c r="A67" s="310" t="s">
        <v>453</v>
      </c>
      <c r="B67" s="311">
        <f>'Wksht 2.  Environmental Impacts'!F637</f>
        <v>330306143.3447099</v>
      </c>
    </row>
    <row r="68" spans="1:2" s="101" customFormat="1" ht="15.75" thickBot="1">
      <c r="A68" s="319" t="s">
        <v>454</v>
      </c>
      <c r="B68" s="330">
        <f>'Wksht 2.  Environmental Impacts'!F639</f>
        <v>226545051.19453922</v>
      </c>
    </row>
    <row r="69" s="101" customFormat="1" ht="15.75" thickBot="1">
      <c r="B69" s="307"/>
    </row>
    <row r="70" spans="1:2" s="101" customFormat="1" ht="31.5">
      <c r="A70" s="468" t="s">
        <v>59</v>
      </c>
      <c r="B70" s="309" t="s">
        <v>99</v>
      </c>
    </row>
    <row r="71" spans="1:2" s="101" customFormat="1" ht="15">
      <c r="A71" s="322" t="s">
        <v>101</v>
      </c>
      <c r="B71" s="134">
        <f>'Wksht 2.  Environmental Impacts'!C725</f>
        <v>-2537945.696312582</v>
      </c>
    </row>
    <row r="72" spans="1:2" s="101" customFormat="1" ht="15">
      <c r="A72" s="322" t="s">
        <v>102</v>
      </c>
      <c r="B72" s="134" t="e">
        <f>'Wksht 2.  Environmental Impacts'!D725</f>
        <v>#DIV/0!</v>
      </c>
    </row>
    <row r="73" spans="1:2" s="101" customFormat="1" ht="15.75" thickBot="1">
      <c r="A73" s="327" t="s">
        <v>103</v>
      </c>
      <c r="B73" s="137" t="e">
        <f>'Wksht 2.  Environmental Impacts'!E725</f>
        <v>#DIV/0!</v>
      </c>
    </row>
    <row r="74" spans="1:2" s="101" customFormat="1" ht="15.75" thickBot="1">
      <c r="A74" s="466"/>
      <c r="B74" s="467"/>
    </row>
    <row r="75" spans="1:2" s="101" customFormat="1" ht="31.5">
      <c r="A75" s="468" t="s">
        <v>60</v>
      </c>
      <c r="B75" s="309" t="s">
        <v>307</v>
      </c>
    </row>
    <row r="76" spans="1:2" s="101" customFormat="1" ht="15">
      <c r="A76" s="322" t="s">
        <v>78</v>
      </c>
      <c r="B76" s="134">
        <f>'Wksht 2.  Environmental Impacts'!C804</f>
        <v>-100337757.16665187</v>
      </c>
    </row>
    <row r="77" spans="1:2" s="101" customFormat="1" ht="15">
      <c r="A77" s="322" t="s">
        <v>79</v>
      </c>
      <c r="B77" s="134" t="e">
        <f>'Wksht 2.  Environmental Impacts'!D804</f>
        <v>#DIV/0!</v>
      </c>
    </row>
    <row r="78" spans="1:2" s="101" customFormat="1" ht="15.75" thickBot="1">
      <c r="A78" s="327" t="s">
        <v>80</v>
      </c>
      <c r="B78" s="137" t="e">
        <f>'Wksht 2.  Environmental Impacts'!E804</f>
        <v>#DIV/0!</v>
      </c>
    </row>
    <row r="79" spans="1:2" s="101" customFormat="1" ht="15">
      <c r="A79" s="179"/>
      <c r="B79" s="182"/>
    </row>
    <row r="80" spans="1:2" s="101" customFormat="1" ht="15">
      <c r="A80" s="179"/>
      <c r="B80" s="182"/>
    </row>
    <row r="81" s="101" customFormat="1" ht="15">
      <c r="B81" s="307"/>
    </row>
    <row r="82" s="101" customFormat="1" ht="15">
      <c r="B82" s="307"/>
    </row>
  </sheetData>
  <sheetProtection password="C62B" sheet="1" objects="1" scenarios="1" selectLockedCells="1"/>
  <mergeCells count="2">
    <mergeCell ref="A1:B1"/>
    <mergeCell ref="A6:B6"/>
  </mergeCells>
  <printOptions/>
  <pageMargins left="0.75" right="0.75" top="1" bottom="1" header="0.5" footer="0.5"/>
  <pageSetup horizontalDpi="300" verticalDpi="300" orientation="portrait" r:id="rId3"/>
  <headerFooter alignWithMargins="0">
    <oddFooter>&amp;LNortheast Recycling Council, Inc. (NERC)
© September 2006&amp;CPage &amp;P&amp;R&amp;A</oddFooter>
  </headerFooter>
  <rowBreaks count="1" manualBreakCount="1">
    <brk id="69" max="255" man="1"/>
  </rowBreaks>
  <legacyDrawing r:id="rId2"/>
</worksheet>
</file>

<file path=xl/worksheets/sheet6.xml><?xml version="1.0" encoding="utf-8"?>
<worksheet xmlns="http://schemas.openxmlformats.org/spreadsheetml/2006/main" xmlns:r="http://schemas.openxmlformats.org/officeDocument/2006/relationships">
  <dimension ref="A1:X2"/>
  <sheetViews>
    <sheetView workbookViewId="0" topLeftCell="A1">
      <selection activeCell="A1" sqref="A1"/>
    </sheetView>
  </sheetViews>
  <sheetFormatPr defaultColWidth="9.140625" defaultRowHeight="12.75"/>
  <cols>
    <col min="1" max="1" width="9.140625" style="248" customWidth="1"/>
    <col min="2" max="2" width="6.7109375" style="248" customWidth="1"/>
    <col min="3" max="3" width="10.140625" style="248" bestFit="1" customWidth="1"/>
    <col min="4" max="4" width="19.7109375" style="0" customWidth="1"/>
    <col min="5" max="5" width="16.8515625" style="0" customWidth="1"/>
    <col min="6" max="6" width="13.8515625" style="0" bestFit="1" customWidth="1"/>
    <col min="7" max="7" width="17.140625" style="0" customWidth="1"/>
    <col min="8" max="8" width="16.7109375" style="0" customWidth="1"/>
    <col min="9" max="9" width="13.57421875" style="0" customWidth="1"/>
    <col min="11" max="11" width="11.7109375" style="0" bestFit="1" customWidth="1"/>
    <col min="12" max="12" width="16.140625" style="0" customWidth="1"/>
    <col min="13" max="13" width="13.140625" style="0" customWidth="1"/>
    <col min="22" max="23" width="10.28125" style="0" customWidth="1"/>
    <col min="24" max="24" width="10.140625" style="0" customWidth="1"/>
  </cols>
  <sheetData>
    <row r="1" spans="1:24" s="12" customFormat="1" ht="76.5">
      <c r="A1" s="502" t="s">
        <v>335</v>
      </c>
      <c r="B1" s="62" t="s">
        <v>336</v>
      </c>
      <c r="C1" s="62" t="s">
        <v>435</v>
      </c>
      <c r="D1" s="50" t="s">
        <v>343</v>
      </c>
      <c r="E1" s="62" t="s">
        <v>341</v>
      </c>
      <c r="F1" s="62" t="s">
        <v>340</v>
      </c>
      <c r="G1" s="62" t="s">
        <v>342</v>
      </c>
      <c r="H1" s="50" t="s">
        <v>346</v>
      </c>
      <c r="I1" s="50" t="s">
        <v>344</v>
      </c>
      <c r="J1" s="62" t="s">
        <v>345</v>
      </c>
      <c r="K1" s="62" t="s">
        <v>114</v>
      </c>
      <c r="L1" s="62" t="s">
        <v>473</v>
      </c>
      <c r="M1" s="50" t="s">
        <v>347</v>
      </c>
      <c r="N1" s="62" t="s">
        <v>348</v>
      </c>
      <c r="O1" s="62" t="s">
        <v>349</v>
      </c>
      <c r="P1" s="62" t="s">
        <v>350</v>
      </c>
      <c r="Q1" s="62" t="s">
        <v>351</v>
      </c>
      <c r="R1" s="62" t="s">
        <v>352</v>
      </c>
      <c r="S1" s="62" t="s">
        <v>353</v>
      </c>
      <c r="T1" s="62" t="s">
        <v>354</v>
      </c>
      <c r="U1" s="62" t="s">
        <v>356</v>
      </c>
      <c r="V1" s="538" t="s">
        <v>355</v>
      </c>
      <c r="W1" s="538" t="s">
        <v>50</v>
      </c>
      <c r="X1" s="43" t="s">
        <v>49</v>
      </c>
    </row>
    <row r="2" spans="1:24" ht="13.5" thickBot="1">
      <c r="A2" s="503" t="str">
        <f>'Wksht 1. Data Inputs'!B7</f>
        <v>Pennsylvania</v>
      </c>
      <c r="B2" s="504" t="str">
        <f>'Wksht 1. Data Inputs'!B15</f>
        <v>potential 2003 waste comp</v>
      </c>
      <c r="C2" s="104">
        <f>'Wksht 2.  Environmental Impacts'!B50</f>
        <v>4006785</v>
      </c>
      <c r="D2" s="104" t="e">
        <f>-'Wksht 2.  Environmental Impacts'!E247</f>
        <v>#DIV/0!</v>
      </c>
      <c r="E2" s="507" t="e">
        <f>'Wksht 2.  Environmental Impacts'!E317</f>
        <v>#DIV/0!</v>
      </c>
      <c r="F2" s="505" t="str">
        <f>'Wksht 1. Data Inputs'!B8</f>
        <v>Pennsylvania</v>
      </c>
      <c r="G2" s="104" t="e">
        <f>'Wksht 2.  Environmental Impacts'!E312</f>
        <v>#DIV/0!</v>
      </c>
      <c r="H2" s="104" t="e">
        <f>-'Wksht 2.  Environmental Impacts'!E725</f>
        <v>#DIV/0!</v>
      </c>
      <c r="I2" s="104" t="e">
        <f>-'Wksht 2.  Environmental Impacts'!B611</f>
        <v>#DIV/0!</v>
      </c>
      <c r="J2" s="104" t="e">
        <f>'Wksht 2.  Environmental Impacts'!C629</f>
        <v>#DIV/0!</v>
      </c>
      <c r="K2" s="104" t="e">
        <f>-'Wksht 2.  Environmental Impacts'!D611</f>
        <v>#DIV/0!</v>
      </c>
      <c r="L2" s="104" t="e">
        <f>-'Wksht 2.  Environmental Impacts'!H611</f>
        <v>#DIV/0!</v>
      </c>
      <c r="M2" s="104" t="e">
        <f>-'Wksht 2.  Environmental Impacts'!E804</f>
        <v>#DIV/0!</v>
      </c>
      <c r="N2" s="104">
        <f>'Wksht 2.  Environmental Impacts'!B922</f>
        <v>651430</v>
      </c>
      <c r="O2" s="104">
        <f>'Wksht 2.  Environmental Impacts'!C922</f>
        <v>69587.57</v>
      </c>
      <c r="P2" s="104">
        <f>'Wksht 2.  Environmental Impacts'!D922</f>
        <v>521001.25</v>
      </c>
      <c r="Q2" s="104">
        <f>'Wksht 2.  Environmental Impacts'!E922</f>
        <v>291760.69999999995</v>
      </c>
      <c r="R2" s="104">
        <f>'Wksht 2.  Environmental Impacts'!F922</f>
        <v>152508.85</v>
      </c>
      <c r="S2" s="104">
        <f>'Wksht 2.  Environmental Impacts'!G922</f>
        <v>48098.945</v>
      </c>
      <c r="T2" s="104">
        <f>'Wksht 2.  Environmental Impacts'!H922</f>
        <v>18770.32</v>
      </c>
      <c r="U2" s="104">
        <f>'Wksht 2.  Environmental Impacts'!B937</f>
        <v>1767297</v>
      </c>
      <c r="V2" s="539">
        <f>'Wksht 2.  Environmental Impacts'!C937</f>
        <v>127728328</v>
      </c>
      <c r="W2" s="506">
        <f>'Wksht 2.  Environmental Impacts'!B949</f>
        <v>2201118</v>
      </c>
      <c r="X2" s="506">
        <f>'Wksht 2.  Environmental Impacts'!C949</f>
        <v>7263689.399999999</v>
      </c>
    </row>
  </sheetData>
  <sheetProtection password="C62B" sheet="1" objects="1" scenarios="1" selectLockedCells="1"/>
  <printOptions/>
  <pageMargins left="0.75" right="0.75" top="1" bottom="1" header="0.5" footer="0.5"/>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lchambers</cp:lastModifiedBy>
  <cp:lastPrinted>2006-09-16T20:31:23Z</cp:lastPrinted>
  <dcterms:created xsi:type="dcterms:W3CDTF">1999-06-10T12:23:19Z</dcterms:created>
  <dcterms:modified xsi:type="dcterms:W3CDTF">2009-01-23T17:11:24Z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1950824091</vt:i4>
  </property>
  <property fmtid="{D5CDD505-2E9C-101B-9397-08002B2CF9AE}" pid="3" name="_EmailSubject">
    <vt:lpwstr>1-14-09 Industry &amp; Waste Subcommittee minutes and handouts</vt:lpwstr>
  </property>
  <property fmtid="{D5CDD505-2E9C-101B-9397-08002B2CF9AE}" pid="4" name="_AuthorEmail">
    <vt:lpwstr>lchambers@state.pa.us</vt:lpwstr>
  </property>
  <property fmtid="{D5CDD505-2E9C-101B-9397-08002B2CF9AE}" pid="5" name="_AuthorEmailDisplayName">
    <vt:lpwstr>Chambers, Laura M.</vt:lpwstr>
  </property>
  <property fmtid="{D5CDD505-2E9C-101B-9397-08002B2CF9AE}" pid="6" name="_PreviousAdHocReviewCycleID">
    <vt:i4>1190783060</vt:i4>
  </property>
</Properties>
</file>